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3770" windowHeight="8190" tabRatio="652" activeTab="3"/>
  </bookViews>
  <sheets>
    <sheet name="Hidraulica AR PPR" sheetId="1" r:id="rId1"/>
    <sheet name="Hidraulica AC PPR" sheetId="2" r:id="rId2"/>
    <sheet name="Hidraulica Canal" sheetId="3" r:id="rId3"/>
    <sheet name="Hidraulica Canal Ext" sheetId="6" r:id="rId4"/>
  </sheets>
  <definedNames>
    <definedName name="_1Excel_BuiltIn_Print_Area_1_1_1_1_1">'Hidraulica AR PPR'!$A$11:$R$130</definedName>
    <definedName name="_2Excel_BuiltIn_Print_Area_2_1_1_1_1">'Hidraulica AC PPR'!$A$9:$R$17</definedName>
    <definedName name="_cof2">'Hidraulica Canal'!$I$6</definedName>
    <definedName name="coef">'Hidraulica Canal'!$G$6</definedName>
    <definedName name="coef___0">#REF!</definedName>
    <definedName name="coef1">'Hidraulica Canal'!$H$6</definedName>
    <definedName name="coef1___0">#REF!</definedName>
    <definedName name="cof2___0">#REF!</definedName>
    <definedName name="Excel_BuiltIn_Print_Area_1_1">'Hidraulica AR PPR'!$A$11:$R$130</definedName>
    <definedName name="Excel_BuiltIn_Print_Area_1_1_1">'Hidraulica AR PPR'!$A$11:$R$130</definedName>
    <definedName name="Excel_BuiltIn_Print_Area_1_1_1_1">'Hidraulica AR PPR'!$A$11:$R$130</definedName>
    <definedName name="Excel_BuiltIn_Print_Area_1_1_1_1_1">'Hidraulica AR PPR'!$A$11:$R$130</definedName>
    <definedName name="Excel_BuiltIn_Print_Area_1_1_1_1_1_1">'Hidraulica AR PPR'!$A$11:$R$130</definedName>
    <definedName name="Excel_BuiltIn_Print_Area_1_1_1_1_1_1_1">'Hidraulica AR PPR'!$A$11:$R$41</definedName>
    <definedName name="Excel_BuiltIn_Print_Area_2_1">'Hidraulica AC PPR'!$A$9:$R$17</definedName>
    <definedName name="Excel_BuiltIn_Print_Area_2_1_1">'Hidraulica AC PPR'!$A$9:$R$17</definedName>
    <definedName name="Excel_BuiltIn_Print_Area_2_1_1_1">'Hidraulica AC PPR'!$A$9:$R$17</definedName>
    <definedName name="Excel_BuiltIn_Print_Area_3_1">'Hidraulica Canal'!$A$2:$O$21</definedName>
    <definedName name="Excel_BuiltIn_Print_Area_3_1_1">'Hidraulica Canal'!$A$2:$O$21</definedName>
    <definedName name="GAMAC">#REF!</definedName>
    <definedName name="TEXT">#REF!</definedName>
    <definedName name="valir">#REF!</definedName>
    <definedName name="valts">#REF!</definedName>
    <definedName name="VV">#REF!</definedName>
    <definedName name="_xlnm.Print_Area" localSheetId="1">'Hidraulica AC PPR'!$A$9:$R$90</definedName>
    <definedName name="_xlnm.Print_Area" localSheetId="0">'Hidraulica AR PPR'!$A$11:$R$114</definedName>
    <definedName name="_xlnm.Print_Area" localSheetId="2">'Hidraulica Canal'!$A$1:$O$41</definedName>
    <definedName name="_xlnm.Print_Area" localSheetId="3">'Hidraulica Canal Ext'!$A$1:$M$14</definedName>
  </definedNames>
  <calcPr calcId="124519"/>
</workbook>
</file>

<file path=xl/calcChain.xml><?xml version="1.0" encoding="utf-8"?>
<calcChain xmlns="http://schemas.openxmlformats.org/spreadsheetml/2006/main">
  <c r="L84" i="1"/>
  <c r="J84"/>
  <c r="M84" s="1"/>
  <c r="Q84" s="1"/>
  <c r="C84"/>
  <c r="D84" s="1"/>
  <c r="E84" s="1"/>
  <c r="L83"/>
  <c r="J83"/>
  <c r="M83" s="1"/>
  <c r="Q83" s="1"/>
  <c r="D83"/>
  <c r="E83" s="1"/>
  <c r="L82"/>
  <c r="J82"/>
  <c r="M82" s="1"/>
  <c r="Q82" s="1"/>
  <c r="D82"/>
  <c r="E82" s="1"/>
  <c r="L81"/>
  <c r="J81"/>
  <c r="M81" s="1"/>
  <c r="Q81" s="1"/>
  <c r="D81"/>
  <c r="E81" s="1"/>
  <c r="L80"/>
  <c r="J80"/>
  <c r="M80" s="1"/>
  <c r="Q80" s="1"/>
  <c r="C80"/>
  <c r="D80" s="1"/>
  <c r="E80" s="1"/>
  <c r="L79"/>
  <c r="J79"/>
  <c r="M79" s="1"/>
  <c r="Q79" s="1"/>
  <c r="C79"/>
  <c r="D79" s="1"/>
  <c r="E79" s="1"/>
  <c r="L78"/>
  <c r="J78"/>
  <c r="M78" s="1"/>
  <c r="Q78" s="1"/>
  <c r="C78"/>
  <c r="D78" s="1"/>
  <c r="E78" s="1"/>
  <c r="L77"/>
  <c r="J77"/>
  <c r="M77" s="1"/>
  <c r="Q77" s="1"/>
  <c r="C77"/>
  <c r="D77" s="1"/>
  <c r="E77" s="1"/>
  <c r="L76"/>
  <c r="J76"/>
  <c r="M76" s="1"/>
  <c r="Q76" s="1"/>
  <c r="R76" s="1"/>
  <c r="E76"/>
  <c r="D76"/>
  <c r="C103"/>
  <c r="D103" s="1"/>
  <c r="E103" s="1"/>
  <c r="L103"/>
  <c r="J103"/>
  <c r="C102"/>
  <c r="C81" i="2"/>
  <c r="D81" s="1"/>
  <c r="E81" s="1"/>
  <c r="L81"/>
  <c r="J81"/>
  <c r="R77" i="1" l="1"/>
  <c r="M103"/>
  <c r="Q103" s="1"/>
  <c r="R103" s="1"/>
  <c r="M81" i="2"/>
  <c r="Q81" s="1"/>
  <c r="R81" s="1"/>
  <c r="B8" i="6"/>
  <c r="B6"/>
  <c r="B7" s="1"/>
  <c r="O38" i="3"/>
  <c r="D38"/>
  <c r="E38" s="1"/>
  <c r="L38" s="1"/>
  <c r="O37"/>
  <c r="D37"/>
  <c r="E37" s="1"/>
  <c r="L37" s="1"/>
  <c r="O34"/>
  <c r="O32"/>
  <c r="O20"/>
  <c r="C30"/>
  <c r="D30" s="1"/>
  <c r="E30" s="1"/>
  <c r="L30" s="1"/>
  <c r="O31"/>
  <c r="O30"/>
  <c r="O29"/>
  <c r="O28"/>
  <c r="O27"/>
  <c r="C27"/>
  <c r="C28" s="1"/>
  <c r="C29" s="1"/>
  <c r="C31" s="1"/>
  <c r="C32" s="1"/>
  <c r="O26"/>
  <c r="E26"/>
  <c r="L26" s="1"/>
  <c r="D26"/>
  <c r="O25"/>
  <c r="D25"/>
  <c r="E25" s="1"/>
  <c r="L25" s="1"/>
  <c r="O19"/>
  <c r="O17"/>
  <c r="C15"/>
  <c r="C16" s="1"/>
  <c r="C17" s="1"/>
  <c r="C19" s="1"/>
  <c r="C20" s="1"/>
  <c r="D13"/>
  <c r="E13" s="1"/>
  <c r="O9"/>
  <c r="O22"/>
  <c r="O12"/>
  <c r="D12"/>
  <c r="D9"/>
  <c r="E9" s="1"/>
  <c r="L9" s="1"/>
  <c r="O8"/>
  <c r="D8"/>
  <c r="C44" i="2"/>
  <c r="C43"/>
  <c r="C30"/>
  <c r="D30" s="1"/>
  <c r="E30" s="1"/>
  <c r="C31"/>
  <c r="D31"/>
  <c r="E31" s="1"/>
  <c r="L87"/>
  <c r="J87"/>
  <c r="C87"/>
  <c r="D87" s="1"/>
  <c r="E87" s="1"/>
  <c r="L86"/>
  <c r="J86"/>
  <c r="C86"/>
  <c r="D86" s="1"/>
  <c r="E86" s="1"/>
  <c r="L85"/>
  <c r="J85"/>
  <c r="C85"/>
  <c r="D85" s="1"/>
  <c r="E85" s="1"/>
  <c r="L80"/>
  <c r="J80"/>
  <c r="C80"/>
  <c r="D80" s="1"/>
  <c r="E80" s="1"/>
  <c r="L79"/>
  <c r="J79"/>
  <c r="M79" s="1"/>
  <c r="Q79" s="1"/>
  <c r="C79"/>
  <c r="D79" s="1"/>
  <c r="E79" s="1"/>
  <c r="L78"/>
  <c r="J78"/>
  <c r="C78"/>
  <c r="D78" s="1"/>
  <c r="E78" s="1"/>
  <c r="L77"/>
  <c r="J77"/>
  <c r="M77" s="1"/>
  <c r="Q77" s="1"/>
  <c r="R77" s="1"/>
  <c r="C77"/>
  <c r="D77" s="1"/>
  <c r="E77" s="1"/>
  <c r="L73"/>
  <c r="J73"/>
  <c r="C73"/>
  <c r="D73" s="1"/>
  <c r="E73" s="1"/>
  <c r="L72"/>
  <c r="J72"/>
  <c r="M72" s="1"/>
  <c r="Q72" s="1"/>
  <c r="C72"/>
  <c r="D72" s="1"/>
  <c r="E72" s="1"/>
  <c r="L71"/>
  <c r="J71"/>
  <c r="C71"/>
  <c r="D71" s="1"/>
  <c r="E71" s="1"/>
  <c r="L67"/>
  <c r="J67"/>
  <c r="C67"/>
  <c r="D67" s="1"/>
  <c r="E67" s="1"/>
  <c r="L66"/>
  <c r="J66"/>
  <c r="C66"/>
  <c r="D66" s="1"/>
  <c r="E66" s="1"/>
  <c r="L62"/>
  <c r="J62"/>
  <c r="C62"/>
  <c r="D62" s="1"/>
  <c r="E62" s="1"/>
  <c r="L61"/>
  <c r="J61"/>
  <c r="C61"/>
  <c r="D61" s="1"/>
  <c r="E61" s="1"/>
  <c r="L60"/>
  <c r="J60"/>
  <c r="C60"/>
  <c r="D60" s="1"/>
  <c r="E60" s="1"/>
  <c r="L56"/>
  <c r="J56"/>
  <c r="C56"/>
  <c r="D56" s="1"/>
  <c r="E56" s="1"/>
  <c r="L55"/>
  <c r="J55"/>
  <c r="C55"/>
  <c r="D55" s="1"/>
  <c r="E55" s="1"/>
  <c r="L54"/>
  <c r="J54"/>
  <c r="C54"/>
  <c r="D54" s="1"/>
  <c r="E54" s="1"/>
  <c r="L53"/>
  <c r="J53"/>
  <c r="C53"/>
  <c r="D53" s="1"/>
  <c r="E53" s="1"/>
  <c r="L49"/>
  <c r="J49"/>
  <c r="C49"/>
  <c r="D49" s="1"/>
  <c r="E49" s="1"/>
  <c r="L48"/>
  <c r="J48"/>
  <c r="C48"/>
  <c r="D48" s="1"/>
  <c r="E48" s="1"/>
  <c r="L44"/>
  <c r="J44"/>
  <c r="D44"/>
  <c r="E44" s="1"/>
  <c r="L43"/>
  <c r="J43"/>
  <c r="D43"/>
  <c r="E43" s="1"/>
  <c r="L42"/>
  <c r="J42"/>
  <c r="C42"/>
  <c r="D42" s="1"/>
  <c r="E42" s="1"/>
  <c r="L38"/>
  <c r="J38"/>
  <c r="C38"/>
  <c r="D38" s="1"/>
  <c r="E38" s="1"/>
  <c r="L37"/>
  <c r="J37"/>
  <c r="C37"/>
  <c r="D37" s="1"/>
  <c r="E37" s="1"/>
  <c r="L36"/>
  <c r="J36"/>
  <c r="C36"/>
  <c r="D36" s="1"/>
  <c r="E36" s="1"/>
  <c r="L31"/>
  <c r="J31"/>
  <c r="L30"/>
  <c r="J30"/>
  <c r="C26"/>
  <c r="C25"/>
  <c r="C24"/>
  <c r="C23"/>
  <c r="C22"/>
  <c r="C21"/>
  <c r="C20"/>
  <c r="C19"/>
  <c r="C18"/>
  <c r="C17"/>
  <c r="C16"/>
  <c r="C15"/>
  <c r="L26"/>
  <c r="J26"/>
  <c r="C35" i="1"/>
  <c r="C34"/>
  <c r="L25" i="2"/>
  <c r="J25"/>
  <c r="L24"/>
  <c r="J24"/>
  <c r="L23"/>
  <c r="J23"/>
  <c r="R82" i="1" l="1"/>
  <c r="R78"/>
  <c r="R84"/>
  <c r="M54" i="2"/>
  <c r="Q54" s="1"/>
  <c r="C33" i="3"/>
  <c r="C34" s="1"/>
  <c r="D34" s="1"/>
  <c r="E34" s="1"/>
  <c r="L34" s="1"/>
  <c r="D29"/>
  <c r="E29" s="1"/>
  <c r="L29" s="1"/>
  <c r="D27"/>
  <c r="E27" s="1"/>
  <c r="L27" s="1"/>
  <c r="D20"/>
  <c r="E20" s="1"/>
  <c r="L20" s="1"/>
  <c r="C21"/>
  <c r="E12"/>
  <c r="L12" s="1"/>
  <c r="D28"/>
  <c r="E28" s="1"/>
  <c r="L28" s="1"/>
  <c r="E8"/>
  <c r="L8" s="1"/>
  <c r="M85" i="2"/>
  <c r="Q85" s="1"/>
  <c r="R85" s="1"/>
  <c r="M87"/>
  <c r="Q87" s="1"/>
  <c r="M86"/>
  <c r="Q86" s="1"/>
  <c r="M78"/>
  <c r="Q78" s="1"/>
  <c r="M80"/>
  <c r="Q80" s="1"/>
  <c r="M67"/>
  <c r="Q67" s="1"/>
  <c r="M61"/>
  <c r="Q61" s="1"/>
  <c r="M56"/>
  <c r="Q56" s="1"/>
  <c r="M49"/>
  <c r="Q49" s="1"/>
  <c r="M43"/>
  <c r="Q43" s="1"/>
  <c r="M38"/>
  <c r="Q38" s="1"/>
  <c r="M30"/>
  <c r="Q30" s="1"/>
  <c r="R30" s="1"/>
  <c r="R86"/>
  <c r="R87" s="1"/>
  <c r="R78"/>
  <c r="R79" s="1"/>
  <c r="M66"/>
  <c r="Q66" s="1"/>
  <c r="R66" s="1"/>
  <c r="M71"/>
  <c r="Q71" s="1"/>
  <c r="R71" s="1"/>
  <c r="R72" s="1"/>
  <c r="M73"/>
  <c r="Q73" s="1"/>
  <c r="M60"/>
  <c r="Q60" s="1"/>
  <c r="R60" s="1"/>
  <c r="R61" s="1"/>
  <c r="M62"/>
  <c r="Q62" s="1"/>
  <c r="M48"/>
  <c r="Q48" s="1"/>
  <c r="R48" s="1"/>
  <c r="M53"/>
  <c r="Q53" s="1"/>
  <c r="R53" s="1"/>
  <c r="M55"/>
  <c r="Q55" s="1"/>
  <c r="R54"/>
  <c r="M31"/>
  <c r="Q31" s="1"/>
  <c r="M44"/>
  <c r="Q44" s="1"/>
  <c r="M37"/>
  <c r="Q37" s="1"/>
  <c r="M42"/>
  <c r="Q42" s="1"/>
  <c r="R42" s="1"/>
  <c r="R43" s="1"/>
  <c r="M23"/>
  <c r="Q23" s="1"/>
  <c r="M25"/>
  <c r="Q25" s="1"/>
  <c r="M36"/>
  <c r="Q36" s="1"/>
  <c r="R36" s="1"/>
  <c r="R37" s="1"/>
  <c r="R38" s="1"/>
  <c r="R31"/>
  <c r="M24"/>
  <c r="Q24" s="1"/>
  <c r="M26"/>
  <c r="Q26" s="1"/>
  <c r="R79" i="1" l="1"/>
  <c r="R80" s="1"/>
  <c r="R81" s="1"/>
  <c r="R83"/>
  <c r="R49" i="2"/>
  <c r="D33" i="3"/>
  <c r="E33" s="1"/>
  <c r="D31"/>
  <c r="E31" s="1"/>
  <c r="L31" s="1"/>
  <c r="D21"/>
  <c r="E21" s="1"/>
  <c r="C22"/>
  <c r="D22" s="1"/>
  <c r="E22" s="1"/>
  <c r="R80" i="2"/>
  <c r="R67"/>
  <c r="R55"/>
  <c r="R56" s="1"/>
  <c r="R73"/>
  <c r="R44"/>
  <c r="R62"/>
  <c r="D32" i="3" l="1"/>
  <c r="E32" s="1"/>
  <c r="L32" s="1"/>
  <c r="L109" i="1" l="1"/>
  <c r="J109"/>
  <c r="C109"/>
  <c r="D109" s="1"/>
  <c r="E109" s="1"/>
  <c r="L108"/>
  <c r="J108"/>
  <c r="M108" s="1"/>
  <c r="Q108" s="1"/>
  <c r="C108"/>
  <c r="D108" s="1"/>
  <c r="E108" s="1"/>
  <c r="L107"/>
  <c r="J107"/>
  <c r="D107"/>
  <c r="E107" s="1"/>
  <c r="L101"/>
  <c r="J101"/>
  <c r="C101"/>
  <c r="D101" s="1"/>
  <c r="E101" s="1"/>
  <c r="L102"/>
  <c r="J102"/>
  <c r="D102"/>
  <c r="E102" s="1"/>
  <c r="L100"/>
  <c r="J100"/>
  <c r="C100"/>
  <c r="D100" s="1"/>
  <c r="E100" s="1"/>
  <c r="L99"/>
  <c r="J99"/>
  <c r="D99"/>
  <c r="E99" s="1"/>
  <c r="L95"/>
  <c r="J95"/>
  <c r="C95"/>
  <c r="D95" s="1"/>
  <c r="E95" s="1"/>
  <c r="L94"/>
  <c r="J94"/>
  <c r="C94"/>
  <c r="D94" s="1"/>
  <c r="E94" s="1"/>
  <c r="L93"/>
  <c r="J93"/>
  <c r="D93"/>
  <c r="E93" s="1"/>
  <c r="L89"/>
  <c r="J89"/>
  <c r="C89"/>
  <c r="D89" s="1"/>
  <c r="E89" s="1"/>
  <c r="L88"/>
  <c r="J88"/>
  <c r="D88"/>
  <c r="E88" s="1"/>
  <c r="L72"/>
  <c r="J72"/>
  <c r="C72"/>
  <c r="D72" s="1"/>
  <c r="E72" s="1"/>
  <c r="L71"/>
  <c r="J71"/>
  <c r="C71"/>
  <c r="D71" s="1"/>
  <c r="E71" s="1"/>
  <c r="L70"/>
  <c r="J70"/>
  <c r="C70"/>
  <c r="D70" s="1"/>
  <c r="E70" s="1"/>
  <c r="L69"/>
  <c r="J69"/>
  <c r="D69"/>
  <c r="E69" s="1"/>
  <c r="L65"/>
  <c r="J65"/>
  <c r="C65"/>
  <c r="D65" s="1"/>
  <c r="E65" s="1"/>
  <c r="L64"/>
  <c r="J64"/>
  <c r="D64"/>
  <c r="E64" s="1"/>
  <c r="C60"/>
  <c r="D57"/>
  <c r="E57" s="1"/>
  <c r="C56"/>
  <c r="D56" s="1"/>
  <c r="E56" s="1"/>
  <c r="C55"/>
  <c r="D55" s="1"/>
  <c r="E55" s="1"/>
  <c r="C54"/>
  <c r="D54" s="1"/>
  <c r="E54" s="1"/>
  <c r="C53"/>
  <c r="L59"/>
  <c r="J59"/>
  <c r="D59"/>
  <c r="E59" s="1"/>
  <c r="L57"/>
  <c r="J57"/>
  <c r="L56"/>
  <c r="J56"/>
  <c r="L55"/>
  <c r="J55"/>
  <c r="L54"/>
  <c r="J54"/>
  <c r="L60"/>
  <c r="J60"/>
  <c r="D60"/>
  <c r="E60" s="1"/>
  <c r="L58"/>
  <c r="J58"/>
  <c r="D58"/>
  <c r="E58" s="1"/>
  <c r="L53"/>
  <c r="J53"/>
  <c r="D53"/>
  <c r="E53" s="1"/>
  <c r="L52"/>
  <c r="J52"/>
  <c r="D52"/>
  <c r="E52" s="1"/>
  <c r="C48"/>
  <c r="C47"/>
  <c r="C46"/>
  <c r="L47"/>
  <c r="J47"/>
  <c r="D47"/>
  <c r="E47" s="1"/>
  <c r="C41"/>
  <c r="C40"/>
  <c r="L48"/>
  <c r="J48"/>
  <c r="D48"/>
  <c r="E48" s="1"/>
  <c r="L46"/>
  <c r="J46"/>
  <c r="D46"/>
  <c r="E46" s="1"/>
  <c r="L45"/>
  <c r="J45"/>
  <c r="D45"/>
  <c r="E45" s="1"/>
  <c r="C33"/>
  <c r="C32"/>
  <c r="C31"/>
  <c r="C30"/>
  <c r="C29"/>
  <c r="C28"/>
  <c r="C27"/>
  <c r="C26"/>
  <c r="C25"/>
  <c r="C24"/>
  <c r="C23"/>
  <c r="C22"/>
  <c r="C21"/>
  <c r="C20"/>
  <c r="C19"/>
  <c r="M107" l="1"/>
  <c r="Q107" s="1"/>
  <c r="R107" s="1"/>
  <c r="M109"/>
  <c r="Q109" s="1"/>
  <c r="M100"/>
  <c r="Q100" s="1"/>
  <c r="M93"/>
  <c r="Q93" s="1"/>
  <c r="R93" s="1"/>
  <c r="M95"/>
  <c r="Q95" s="1"/>
  <c r="M72"/>
  <c r="Q72" s="1"/>
  <c r="M60"/>
  <c r="Q60" s="1"/>
  <c r="M57"/>
  <c r="Q57" s="1"/>
  <c r="M56"/>
  <c r="Q56" s="1"/>
  <c r="M55"/>
  <c r="Q55" s="1"/>
  <c r="M54"/>
  <c r="Q54" s="1"/>
  <c r="M53"/>
  <c r="Q53" s="1"/>
  <c r="M48"/>
  <c r="Q48" s="1"/>
  <c r="M45"/>
  <c r="Q45" s="1"/>
  <c r="R45" s="1"/>
  <c r="R108"/>
  <c r="R109" s="1"/>
  <c r="M101"/>
  <c r="Q101" s="1"/>
  <c r="M99"/>
  <c r="Q99" s="1"/>
  <c r="R99" s="1"/>
  <c r="M102"/>
  <c r="Q102" s="1"/>
  <c r="R100"/>
  <c r="M89"/>
  <c r="Q89" s="1"/>
  <c r="M94"/>
  <c r="Q94" s="1"/>
  <c r="M65"/>
  <c r="Q65" s="1"/>
  <c r="R94"/>
  <c r="R95" s="1"/>
  <c r="M88"/>
  <c r="Q88" s="1"/>
  <c r="R88" s="1"/>
  <c r="R89" s="1"/>
  <c r="M64"/>
  <c r="Q64" s="1"/>
  <c r="R64" s="1"/>
  <c r="M69"/>
  <c r="Q69" s="1"/>
  <c r="R69" s="1"/>
  <c r="M71"/>
  <c r="Q71" s="1"/>
  <c r="M70"/>
  <c r="Q70" s="1"/>
  <c r="R70" s="1"/>
  <c r="M52"/>
  <c r="Q52" s="1"/>
  <c r="R52" s="1"/>
  <c r="R53" s="1"/>
  <c r="R54" s="1"/>
  <c r="R55" s="1"/>
  <c r="R56" s="1"/>
  <c r="R57" s="1"/>
  <c r="M58"/>
  <c r="Q58" s="1"/>
  <c r="M59"/>
  <c r="Q59" s="1"/>
  <c r="M46"/>
  <c r="Q46" s="1"/>
  <c r="R46" s="1"/>
  <c r="R48" s="1"/>
  <c r="M47"/>
  <c r="Q47" s="1"/>
  <c r="L35"/>
  <c r="J35"/>
  <c r="L34"/>
  <c r="J34"/>
  <c r="L19"/>
  <c r="J19"/>
  <c r="D19"/>
  <c r="E19" s="1"/>
  <c r="M8" i="6"/>
  <c r="M7"/>
  <c r="D19" i="3"/>
  <c r="E19" s="1"/>
  <c r="O14"/>
  <c r="D14"/>
  <c r="O18"/>
  <c r="D18"/>
  <c r="O13"/>
  <c r="L13"/>
  <c r="L22" i="2"/>
  <c r="J22"/>
  <c r="L21"/>
  <c r="J21"/>
  <c r="L20"/>
  <c r="J20"/>
  <c r="L19"/>
  <c r="J19"/>
  <c r="D19"/>
  <c r="E19" s="1"/>
  <c r="L18"/>
  <c r="J18"/>
  <c r="D18"/>
  <c r="E18" s="1"/>
  <c r="L17"/>
  <c r="J17"/>
  <c r="D17"/>
  <c r="E17" s="1"/>
  <c r="L16"/>
  <c r="J16"/>
  <c r="D16"/>
  <c r="E16" s="1"/>
  <c r="L15"/>
  <c r="J15"/>
  <c r="D15"/>
  <c r="E15" s="1"/>
  <c r="L27" i="1"/>
  <c r="J27"/>
  <c r="D27"/>
  <c r="E27" s="1"/>
  <c r="L26"/>
  <c r="J26"/>
  <c r="D26"/>
  <c r="E26" s="1"/>
  <c r="L25"/>
  <c r="J25"/>
  <c r="D25"/>
  <c r="E25" s="1"/>
  <c r="L24"/>
  <c r="J24"/>
  <c r="D24"/>
  <c r="E24" s="1"/>
  <c r="D23"/>
  <c r="N8" i="2"/>
  <c r="L8"/>
  <c r="N7"/>
  <c r="L7"/>
  <c r="N6"/>
  <c r="L6"/>
  <c r="N5"/>
  <c r="N4"/>
  <c r="L4"/>
  <c r="N3"/>
  <c r="L3"/>
  <c r="N2"/>
  <c r="L2"/>
  <c r="M8" i="1"/>
  <c r="K8"/>
  <c r="M7"/>
  <c r="K7"/>
  <c r="M6"/>
  <c r="K6"/>
  <c r="M5"/>
  <c r="K4"/>
  <c r="M4" s="1"/>
  <c r="M3"/>
  <c r="K3"/>
  <c r="M2"/>
  <c r="K2"/>
  <c r="L22"/>
  <c r="J22"/>
  <c r="D22"/>
  <c r="E22" s="1"/>
  <c r="L20"/>
  <c r="J20"/>
  <c r="D20"/>
  <c r="E20" s="1"/>
  <c r="J33"/>
  <c r="L33"/>
  <c r="L41"/>
  <c r="J41"/>
  <c r="D41"/>
  <c r="E41" s="1"/>
  <c r="L40"/>
  <c r="J40"/>
  <c r="D40"/>
  <c r="E40" s="1"/>
  <c r="L39"/>
  <c r="J39"/>
  <c r="D39"/>
  <c r="E39" s="1"/>
  <c r="J32"/>
  <c r="L32"/>
  <c r="J31"/>
  <c r="L31"/>
  <c r="J30"/>
  <c r="L30"/>
  <c r="E18" i="3" l="1"/>
  <c r="L18" s="1"/>
  <c r="R65" i="1"/>
  <c r="R102"/>
  <c r="R101"/>
  <c r="R58"/>
  <c r="R72"/>
  <c r="R71"/>
  <c r="R59"/>
  <c r="R60"/>
  <c r="R47"/>
  <c r="M34"/>
  <c r="Q34" s="1"/>
  <c r="M19"/>
  <c r="Q19" s="1"/>
  <c r="M35"/>
  <c r="Q35" s="1"/>
  <c r="L22" i="3"/>
  <c r="D17"/>
  <c r="E17" s="1"/>
  <c r="L17" s="1"/>
  <c r="D15"/>
  <c r="E15" s="1"/>
  <c r="L19"/>
  <c r="E14"/>
  <c r="L14" s="1"/>
  <c r="M27" i="1"/>
  <c r="Q27" s="1"/>
  <c r="M26"/>
  <c r="Q26" s="1"/>
  <c r="M25"/>
  <c r="Q25" s="1"/>
  <c r="M20"/>
  <c r="Q20" s="1"/>
  <c r="M16" i="2"/>
  <c r="Q16" s="1"/>
  <c r="M18"/>
  <c r="Q18" s="1"/>
  <c r="M17"/>
  <c r="Q17" s="1"/>
  <c r="M15"/>
  <c r="Q15" s="1"/>
  <c r="R15" s="1"/>
  <c r="M19"/>
  <c r="Q19" s="1"/>
  <c r="M20"/>
  <c r="Q20" s="1"/>
  <c r="M21"/>
  <c r="Q21" s="1"/>
  <c r="M22"/>
  <c r="Q22" s="1"/>
  <c r="M24" i="1"/>
  <c r="Q24" s="1"/>
  <c r="D32"/>
  <c r="E32" s="1"/>
  <c r="M39"/>
  <c r="Q39" s="1"/>
  <c r="R39" s="1"/>
  <c r="M22"/>
  <c r="Q22" s="1"/>
  <c r="M33"/>
  <c r="Q33" s="1"/>
  <c r="M41"/>
  <c r="Q41" s="1"/>
  <c r="M40"/>
  <c r="Q40" s="1"/>
  <c r="M32"/>
  <c r="Q32" s="1"/>
  <c r="M31"/>
  <c r="Q31" s="1"/>
  <c r="M30"/>
  <c r="Q30" s="1"/>
  <c r="R16" i="2" l="1"/>
  <c r="R17" s="1"/>
  <c r="R18" s="1"/>
  <c r="R19" s="1"/>
  <c r="R20" s="1"/>
  <c r="R21" s="1"/>
  <c r="R22" s="1"/>
  <c r="R23" s="1"/>
  <c r="R24" s="1"/>
  <c r="R25" s="1"/>
  <c r="R26" s="1"/>
  <c r="D34" i="1"/>
  <c r="E34" s="1"/>
  <c r="D35"/>
  <c r="E35" s="1"/>
  <c r="R40"/>
  <c r="R41" s="1"/>
  <c r="D20" i="2"/>
  <c r="E20" s="1"/>
  <c r="C7" i="6" l="1"/>
  <c r="E7" s="1"/>
  <c r="J7" s="1"/>
  <c r="C8"/>
  <c r="E8" s="1"/>
  <c r="J8" s="1"/>
  <c r="D21" i="2"/>
  <c r="E21" s="1"/>
  <c r="D33" i="1"/>
  <c r="E33" s="1"/>
  <c r="O15" i="3"/>
  <c r="L15"/>
  <c r="E23" i="1"/>
  <c r="J23"/>
  <c r="L23"/>
  <c r="L21"/>
  <c r="J21"/>
  <c r="D21"/>
  <c r="E21" s="1"/>
  <c r="L18"/>
  <c r="J18"/>
  <c r="D18"/>
  <c r="E18" s="1"/>
  <c r="D22" i="2" l="1"/>
  <c r="E22" s="1"/>
  <c r="M23" i="1"/>
  <c r="Q23" s="1"/>
  <c r="M21"/>
  <c r="Q21" s="1"/>
  <c r="M18"/>
  <c r="J29"/>
  <c r="L29"/>
  <c r="M6" i="6"/>
  <c r="D16" i="3"/>
  <c r="E16" s="1"/>
  <c r="X21" i="1"/>
  <c r="X18"/>
  <c r="V18"/>
  <c r="J28"/>
  <c r="L28"/>
  <c r="O16" i="3"/>
  <c r="V17" i="1"/>
  <c r="X17"/>
  <c r="D23" i="2" l="1"/>
  <c r="E23" s="1"/>
  <c r="Q18" i="1"/>
  <c r="R18" s="1"/>
  <c r="R19" s="1"/>
  <c r="R20" s="1"/>
  <c r="R21" s="1"/>
  <c r="R22" s="1"/>
  <c r="R23" s="1"/>
  <c r="R24" s="1"/>
  <c r="R25" s="1"/>
  <c r="R26" s="1"/>
  <c r="R27" s="1"/>
  <c r="L16" i="3"/>
  <c r="D29" i="1"/>
  <c r="E29" s="1"/>
  <c r="M29"/>
  <c r="Q29" s="1"/>
  <c r="D28"/>
  <c r="E28" s="1"/>
  <c r="M28"/>
  <c r="Q28" s="1"/>
  <c r="D24" i="2" l="1"/>
  <c r="E24" s="1"/>
  <c r="R28" i="1"/>
  <c r="R29" s="1"/>
  <c r="R30" s="1"/>
  <c r="R31" s="1"/>
  <c r="R32" s="1"/>
  <c r="R33" s="1"/>
  <c r="R34" s="1"/>
  <c r="R35" s="1"/>
  <c r="C6" i="6"/>
  <c r="E6" s="1"/>
  <c r="J6" s="1"/>
  <c r="D25" i="2" l="1"/>
  <c r="E25" s="1"/>
  <c r="D26"/>
  <c r="E26" s="1"/>
  <c r="D31" i="1"/>
  <c r="E31" s="1"/>
  <c r="D30"/>
  <c r="E30" s="1"/>
</calcChain>
</file>

<file path=xl/sharedStrings.xml><?xml version="1.0" encoding="utf-8"?>
<sst xmlns="http://schemas.openxmlformats.org/spreadsheetml/2006/main" count="1119" uniqueCount="167">
  <si>
    <t>Nr.</t>
  </si>
  <si>
    <t>Denumirea</t>
  </si>
  <si>
    <t>Echiv.</t>
  </si>
  <si>
    <t>Debit</t>
  </si>
  <si>
    <t>l</t>
  </si>
  <si>
    <t>d</t>
  </si>
  <si>
    <t>v</t>
  </si>
  <si>
    <t>R</t>
  </si>
  <si>
    <t>Rxl</t>
  </si>
  <si>
    <t>csi</t>
  </si>
  <si>
    <t>Z</t>
  </si>
  <si>
    <t>Rxl+Z</t>
  </si>
  <si>
    <t>Zsup</t>
  </si>
  <si>
    <t>Pres.</t>
  </si>
  <si>
    <t>Hgeod.</t>
  </si>
  <si>
    <t>Total</t>
  </si>
  <si>
    <t>SUMA</t>
  </si>
  <si>
    <t>trons.</t>
  </si>
  <si>
    <t>obiectului</t>
  </si>
  <si>
    <t xml:space="preserve"> debit</t>
  </si>
  <si>
    <t>l/s</t>
  </si>
  <si>
    <t>l/h</t>
  </si>
  <si>
    <t>m</t>
  </si>
  <si>
    <t>mm</t>
  </si>
  <si>
    <t>m/s</t>
  </si>
  <si>
    <t>mmCA/m</t>
  </si>
  <si>
    <t>mmCA</t>
  </si>
  <si>
    <t>utiliz.</t>
  </si>
  <si>
    <t xml:space="preserve">m </t>
  </si>
  <si>
    <t>pierderi</t>
  </si>
  <si>
    <t>L</t>
  </si>
  <si>
    <t>WC</t>
  </si>
  <si>
    <t>1L</t>
  </si>
  <si>
    <t>COLOANE</t>
  </si>
  <si>
    <t>CONDUCTE ORIZONTALE</t>
  </si>
  <si>
    <t xml:space="preserve">si numarul de </t>
  </si>
  <si>
    <t>qs</t>
  </si>
  <si>
    <t>qc</t>
  </si>
  <si>
    <t>qmax</t>
  </si>
  <si>
    <t>Diam</t>
  </si>
  <si>
    <t>panta</t>
  </si>
  <si>
    <t>vsp</t>
  </si>
  <si>
    <t>qsp</t>
  </si>
  <si>
    <t>x</t>
  </si>
  <si>
    <t>u</t>
  </si>
  <si>
    <t>z</t>
  </si>
  <si>
    <t>vr</t>
  </si>
  <si>
    <t>obiecte sanitare</t>
  </si>
  <si>
    <t>SEs</t>
  </si>
  <si>
    <t>CANALIZARE  M1</t>
  </si>
  <si>
    <t>Tronson</t>
  </si>
  <si>
    <t xml:space="preserve">suma </t>
  </si>
  <si>
    <t>Qsm</t>
  </si>
  <si>
    <t>Qsmax</t>
  </si>
  <si>
    <t>Qcm</t>
  </si>
  <si>
    <t>Dn</t>
  </si>
  <si>
    <t>Vsp</t>
  </si>
  <si>
    <t>Qsp</t>
  </si>
  <si>
    <t>x=</t>
  </si>
  <si>
    <t>z=</t>
  </si>
  <si>
    <t>V=</t>
  </si>
  <si>
    <t>Es</t>
  </si>
  <si>
    <t>[l/s]</t>
  </si>
  <si>
    <t>canal</t>
  </si>
  <si>
    <t>[mm]</t>
  </si>
  <si>
    <t>[m/s]</t>
  </si>
  <si>
    <t>Q/Qsp</t>
  </si>
  <si>
    <t>V/Vsp</t>
  </si>
  <si>
    <t>zxVsp</t>
  </si>
  <si>
    <t xml:space="preserve">            Data:                                                                                                                                         Întocmit</t>
  </si>
  <si>
    <t>CANALIZARE  M2</t>
  </si>
  <si>
    <t>CANALIZARE  M3</t>
  </si>
  <si>
    <t>CCM2-CCM3</t>
  </si>
  <si>
    <t>CB</t>
  </si>
  <si>
    <t>B</t>
  </si>
  <si>
    <t>CD</t>
  </si>
  <si>
    <t>S</t>
  </si>
  <si>
    <t>MS</t>
  </si>
  <si>
    <t xml:space="preserve"> BREVIAR DE CALCUL</t>
  </si>
  <si>
    <r>
      <rPr>
        <b/>
        <sz val="11"/>
        <rFont val="Times New Roman"/>
        <family val="1"/>
      </rPr>
      <t>Calculul hidraulic</t>
    </r>
    <r>
      <rPr>
        <sz val="11"/>
        <rFont val="Times New Roman"/>
        <family val="1"/>
      </rPr>
      <t xml:space="preserve"> - APA CALDA</t>
    </r>
  </si>
  <si>
    <r>
      <rPr>
        <b/>
        <sz val="11"/>
        <rFont val="Times New Roman"/>
        <family val="1"/>
      </rPr>
      <t>Calculul hidraulic</t>
    </r>
    <r>
      <rPr>
        <sz val="11"/>
        <rFont val="Times New Roman"/>
        <family val="1"/>
      </rPr>
      <t xml:space="preserve"> - APA RECE</t>
    </r>
  </si>
  <si>
    <r>
      <rPr>
        <b/>
        <sz val="11"/>
        <rFont val="Times New Roman"/>
        <family val="1"/>
      </rPr>
      <t xml:space="preserve">Calculul hidraulic </t>
    </r>
    <r>
      <rPr>
        <sz val="11"/>
        <rFont val="Times New Roman"/>
        <family val="1"/>
      </rPr>
      <t>– CANALIZARE MENAJERA INTERIOARA</t>
    </r>
  </si>
  <si>
    <r>
      <rPr>
        <b/>
        <sz val="11"/>
        <rFont val="Times New Roman"/>
        <family val="1"/>
      </rPr>
      <t>Calcul hidraulic</t>
    </r>
    <r>
      <rPr>
        <sz val="11"/>
        <rFont val="Times New Roman"/>
        <family val="1"/>
      </rPr>
      <t xml:space="preserve"> - REŢEA EXTERIOARĂ DE CANALIZARE MENAJERĂ </t>
    </r>
  </si>
  <si>
    <t xml:space="preserve">        Aprilie 2014                                                                                                                          ing. Bogdan CORABEAN</t>
  </si>
  <si>
    <t>1L+1Rds</t>
  </si>
  <si>
    <t>2L+1Rds</t>
  </si>
  <si>
    <t>2L+1Rds+1PI</t>
  </si>
  <si>
    <t>2L+1Rds+1PI+1WC</t>
  </si>
  <si>
    <t>2L+1Rds+1PI+2WC</t>
  </si>
  <si>
    <t>2L+1Rds+1PI+3WC</t>
  </si>
  <si>
    <t>2L+1Rds+1PI+4WC</t>
  </si>
  <si>
    <t>2L+1Rds+1PI+5WC</t>
  </si>
  <si>
    <t>2L+1Rds+1PI+5WC+Ramura1(3L)</t>
  </si>
  <si>
    <t>5L+1Rds+1PI+5WC+Ramura2(4L)</t>
  </si>
  <si>
    <t>9L+1Rds+1PI+5WC+Ramura3(1L+1Pi+5WC+2CD)</t>
  </si>
  <si>
    <t>10L+1Rds+2PI+10WC+2CD+Ramura4(2L)</t>
  </si>
  <si>
    <t>12L+1Rds+2PI+10WC+2CD+Ramura5(4L)</t>
  </si>
  <si>
    <t>16L+1Rds+2PI+10WC+2CD+Ramura6(1L+1Pi+5WC+2CD)</t>
  </si>
  <si>
    <t>17L+1Rds+3PI+15WC+4CD+Ramura7(2L)</t>
  </si>
  <si>
    <t>19L+1Rds+3PI+15WC+4CD+Ramura8(3L)</t>
  </si>
  <si>
    <t>Tronsonul 1 - S2</t>
  </si>
  <si>
    <t>Ramura 1 - S2</t>
  </si>
  <si>
    <t>2L</t>
  </si>
  <si>
    <t>3L</t>
  </si>
  <si>
    <t>Ramura 2 - S2</t>
  </si>
  <si>
    <t>4L</t>
  </si>
  <si>
    <t>Ramura 3 - S2</t>
  </si>
  <si>
    <t>1L+1Pi</t>
  </si>
  <si>
    <t>1L+1Pi+1WC</t>
  </si>
  <si>
    <t>1L+1Pi+2WC</t>
  </si>
  <si>
    <t>1L+1Pi+3WC</t>
  </si>
  <si>
    <t>1L+1Pi+5WC+2CD</t>
  </si>
  <si>
    <t>Ramura 4 - S2</t>
  </si>
  <si>
    <t>Ramura 5 - S2</t>
  </si>
  <si>
    <t>Ramura 6 - S2</t>
  </si>
  <si>
    <t>Ramura 7 - S2</t>
  </si>
  <si>
    <t>Ramura 8 - S2</t>
  </si>
  <si>
    <t>Tronsonul 2 - S1</t>
  </si>
  <si>
    <t>Ramura 9 - S3</t>
  </si>
  <si>
    <t>4L+Ram.1(2L)+Ram.2 (3L)</t>
  </si>
  <si>
    <t>9L+Ram. 3 (1L+2CD)</t>
  </si>
  <si>
    <t>10L+2CD+Ram. 4 (2L)</t>
  </si>
  <si>
    <t>12L+2CD+Ram. 5 (4L)</t>
  </si>
  <si>
    <t>16L+2CD+Ram. 6 (1L+2CD)</t>
  </si>
  <si>
    <t>17L+4CD+Ram. 7 (2L)</t>
  </si>
  <si>
    <t>19L+4CD+Ram. 8 (3L)</t>
  </si>
  <si>
    <t>22L+1Rds+3PI+15WC+4CD+Tronsonul 2(7L+2Cz+1B)</t>
  </si>
  <si>
    <t>22L+4CD+Tronson 2 (7L)</t>
  </si>
  <si>
    <t>1L+1CD</t>
  </si>
  <si>
    <t>1L+2CD</t>
  </si>
  <si>
    <t xml:space="preserve">       Aprilie 2014                                                                                                                          ing. Bogdan CORABEAN</t>
  </si>
  <si>
    <t>PPR-32x4.4mm</t>
  </si>
  <si>
    <t>3L+1SP</t>
  </si>
  <si>
    <t>1Pi</t>
  </si>
  <si>
    <t>1Pi+3L+1SP</t>
  </si>
  <si>
    <t>1Pi+3L+1SP+1WC</t>
  </si>
  <si>
    <t>1L+1SP</t>
  </si>
  <si>
    <t>1Pi+4L+2SP+1WC</t>
  </si>
  <si>
    <t>1Pi+4L+2SP+2WC</t>
  </si>
  <si>
    <t>2Pi+7L+4SP+4WC</t>
  </si>
  <si>
    <t>3Pi+10L+6SP+6WC</t>
  </si>
  <si>
    <t>3L+1SP+1WC</t>
  </si>
  <si>
    <t>3L+1SP+2WC</t>
  </si>
  <si>
    <t>2L+1SP</t>
  </si>
  <si>
    <t>5L+2SP+2WC</t>
  </si>
  <si>
    <t>5L+2SP+3WC</t>
  </si>
  <si>
    <t>9L+4SP+6WC+1CD</t>
  </si>
  <si>
    <t>12L+6SP+9WC+2CD</t>
  </si>
  <si>
    <t>CANALIZARE  M4</t>
  </si>
  <si>
    <t>CCM1-CCM2</t>
  </si>
  <si>
    <t>CCM4-CCM5</t>
  </si>
  <si>
    <t xml:space="preserve">      Aprilie 2014                                                                                                                          ing. Bogdan CORABEAN</t>
  </si>
  <si>
    <t>PPR-32x4,4mm</t>
  </si>
  <si>
    <t>PPR-40x5,5mm</t>
  </si>
  <si>
    <t>PPR-20x2,8mm</t>
  </si>
  <si>
    <t>PPR-25x3,5mm</t>
  </si>
  <si>
    <t>PPR-16x2mm</t>
  </si>
  <si>
    <t>PPR-40x5.5mm</t>
  </si>
  <si>
    <t>PPR-50x6.9mm</t>
  </si>
  <si>
    <t>PPR-20x2.8mm</t>
  </si>
  <si>
    <t>7L</t>
  </si>
  <si>
    <t>4L+Ramura 9 (3L)</t>
  </si>
  <si>
    <t>7L+B</t>
  </si>
  <si>
    <t>1L+1Pi+3WC+1CD</t>
  </si>
  <si>
    <t>1L+1Pi+3WC+2CD</t>
  </si>
  <si>
    <t>1L+1Pi+4WC+1CD</t>
  </si>
  <si>
    <t xml:space="preserve">        Aprilie 2014                                                                                                                         ing. Bogdan CORABEAN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</si>
</sst>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2">
    <font>
      <sz val="10"/>
      <name val="Arial"/>
    </font>
    <font>
      <sz val="11"/>
      <name val="Times New Roman"/>
      <family val="1"/>
    </font>
    <font>
      <sz val="11"/>
      <color indexed="10"/>
      <name val="Times New Roman"/>
      <family val="1"/>
    </font>
    <font>
      <b/>
      <sz val="11"/>
      <name val="Times New Roman"/>
      <family val="1"/>
    </font>
    <font>
      <b/>
      <sz val="11"/>
      <color indexed="10"/>
      <name val="Times New Roman"/>
      <family val="1"/>
    </font>
    <font>
      <i/>
      <sz val="11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0" fontId="7" fillId="0" borderId="0" xfId="0" applyFont="1" applyBorder="1" applyAlignment="1">
      <alignment horizontal="center"/>
    </xf>
    <xf numFmtId="0" fontId="1" fillId="0" borderId="0" xfId="0" applyFont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4" fillId="0" borderId="0" xfId="0" applyFont="1" applyFill="1"/>
    <xf numFmtId="164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10" fillId="0" borderId="0" xfId="0" applyFont="1" applyFill="1" applyBorder="1"/>
    <xf numFmtId="165" fontId="1" fillId="0" borderId="0" xfId="0" applyNumberFormat="1" applyFont="1" applyFill="1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7" fillId="0" borderId="0" xfId="0" applyFont="1" applyBorder="1"/>
    <xf numFmtId="2" fontId="7" fillId="0" borderId="0" xfId="0" applyNumberFormat="1" applyFont="1" applyBorder="1"/>
    <xf numFmtId="165" fontId="7" fillId="0" borderId="0" xfId="0" applyNumberFormat="1" applyFont="1" applyBorder="1"/>
    <xf numFmtId="0" fontId="2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 applyAlignment="1">
      <alignment horizontal="left"/>
    </xf>
    <xf numFmtId="49" fontId="1" fillId="0" borderId="0" xfId="0" applyNumberFormat="1" applyFont="1" applyAlignment="1"/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4" fillId="0" borderId="0" xfId="0" applyFont="1"/>
    <xf numFmtId="2" fontId="1" fillId="0" borderId="0" xfId="0" applyNumberFormat="1" applyFont="1"/>
    <xf numFmtId="2" fontId="2" fillId="0" borderId="0" xfId="0" applyNumberFormat="1" applyFont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1" fillId="0" borderId="0" xfId="0" applyFont="1" applyFill="1" applyAlignment="1"/>
    <xf numFmtId="2" fontId="1" fillId="0" borderId="0" xfId="0" applyNumberFormat="1" applyFont="1" applyBorder="1"/>
    <xf numFmtId="165" fontId="1" fillId="0" borderId="0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0" fontId="1" fillId="0" borderId="5" xfId="0" applyFont="1" applyFill="1" applyBorder="1"/>
    <xf numFmtId="1" fontId="1" fillId="0" borderId="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/>
    <xf numFmtId="0" fontId="1" fillId="0" borderId="8" xfId="0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  <xf numFmtId="1" fontId="1" fillId="0" borderId="8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1" fontId="1" fillId="0" borderId="9" xfId="0" applyNumberFormat="1" applyFont="1" applyFill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65" fontId="1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6" xfId="0" applyFont="1" applyBorder="1" applyAlignment="1">
      <alignment horizontal="center"/>
    </xf>
    <xf numFmtId="2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2" fontId="1" fillId="0" borderId="8" xfId="0" applyNumberFormat="1" applyFont="1" applyBorder="1"/>
    <xf numFmtId="0" fontId="1" fillId="0" borderId="8" xfId="0" applyFont="1" applyBorder="1" applyAlignment="1">
      <alignment horizontal="center"/>
    </xf>
    <xf numFmtId="165" fontId="1" fillId="0" borderId="8" xfId="0" applyNumberFormat="1" applyFont="1" applyBorder="1"/>
    <xf numFmtId="2" fontId="1" fillId="0" borderId="9" xfId="0" applyNumberFormat="1" applyFont="1" applyBorder="1"/>
    <xf numFmtId="165" fontId="1" fillId="0" borderId="0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3" fillId="0" borderId="3" xfId="0" applyFont="1" applyFill="1" applyBorder="1"/>
    <xf numFmtId="0" fontId="2" fillId="0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Fill="1" applyBorder="1"/>
    <xf numFmtId="0" fontId="3" fillId="0" borderId="11" xfId="0" applyFont="1" applyFill="1" applyBorder="1"/>
    <xf numFmtId="0" fontId="1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" fontId="1" fillId="0" borderId="12" xfId="0" applyNumberFormat="1" applyFont="1" applyFill="1" applyBorder="1" applyAlignment="1">
      <alignment horizontal="center"/>
    </xf>
    <xf numFmtId="0" fontId="1" fillId="0" borderId="3" xfId="0" applyFont="1" applyFill="1" applyBorder="1"/>
    <xf numFmtId="1" fontId="1" fillId="0" borderId="1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/>
    <xf numFmtId="0" fontId="1" fillId="0" borderId="15" xfId="0" applyFont="1" applyFill="1" applyBorder="1" applyAlignment="1">
      <alignment horizontal="center"/>
    </xf>
    <xf numFmtId="165" fontId="1" fillId="0" borderId="15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64" fontId="1" fillId="0" borderId="15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/>
    <xf numFmtId="165" fontId="1" fillId="0" borderId="11" xfId="0" applyNumberFormat="1" applyFont="1" applyFill="1" applyBorder="1" applyAlignment="1">
      <alignment horizontal="center"/>
    </xf>
    <xf numFmtId="1" fontId="1" fillId="0" borderId="11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K145"/>
  <sheetViews>
    <sheetView view="pageBreakPreview" topLeftCell="A64" zoomScale="60" workbookViewId="0">
      <selection activeCell="B66" sqref="B66"/>
    </sheetView>
  </sheetViews>
  <sheetFormatPr defaultRowHeight="15"/>
  <cols>
    <col min="1" max="1" width="4.5703125" style="1" customWidth="1"/>
    <col min="2" max="2" width="52.42578125" style="1" customWidth="1"/>
    <col min="3" max="3" width="6" style="2" customWidth="1"/>
    <col min="4" max="4" width="7.42578125" style="2" customWidth="1"/>
    <col min="5" max="5" width="6.85546875" style="2" customWidth="1"/>
    <col min="6" max="6" width="6.28515625" style="2" bestFit="1" customWidth="1"/>
    <col min="7" max="7" width="15.42578125" style="2" customWidth="1"/>
    <col min="8" max="8" width="5.140625" style="2" customWidth="1"/>
    <col min="9" max="9" width="8.85546875" style="2" customWidth="1"/>
    <col min="10" max="10" width="6.5703125" style="2" customWidth="1"/>
    <col min="11" max="11" width="4.28515625" style="3" customWidth="1"/>
    <col min="12" max="12" width="7.42578125" style="2" customWidth="1"/>
    <col min="13" max="13" width="6.7109375" style="2" customWidth="1"/>
    <col min="14" max="14" width="6.5703125" style="2" customWidth="1"/>
    <col min="15" max="15" width="6.42578125" style="2" customWidth="1"/>
    <col min="16" max="16" width="6" style="2" customWidth="1"/>
    <col min="17" max="17" width="7.85546875" style="4" customWidth="1"/>
    <col min="18" max="18" width="7.85546875" style="5" customWidth="1"/>
    <col min="19" max="19" width="6" style="1" customWidth="1"/>
    <col min="20" max="20" width="4.140625" style="6" customWidth="1"/>
    <col min="21" max="21" width="5.140625" style="1" customWidth="1"/>
    <col min="22" max="22" width="4.42578125" style="1" customWidth="1"/>
    <col min="23" max="23" width="4" style="1" customWidth="1"/>
    <col min="24" max="24" width="6.140625" style="1" customWidth="1"/>
    <col min="25" max="25" width="3" style="1" customWidth="1"/>
    <col min="26" max="27" width="5.140625" style="1" customWidth="1"/>
    <col min="28" max="28" width="6.140625" style="1" customWidth="1"/>
    <col min="29" max="29" width="4" style="1" bestFit="1" customWidth="1"/>
    <col min="30" max="30" width="2" style="1" bestFit="1" customWidth="1"/>
    <col min="31" max="16384" width="9.140625" style="1"/>
  </cols>
  <sheetData>
    <row r="2" spans="1:26">
      <c r="I2" s="6" t="s">
        <v>30</v>
      </c>
      <c r="J2" s="1">
        <v>0.35</v>
      </c>
      <c r="K2" s="1">
        <f>J2*0.7</f>
        <v>0.24499999999999997</v>
      </c>
      <c r="L2" s="1">
        <v>10</v>
      </c>
      <c r="M2" s="1">
        <f>L2*0.245</f>
        <v>2.4500000000000002</v>
      </c>
    </row>
    <row r="3" spans="1:26">
      <c r="I3" s="6" t="s">
        <v>73</v>
      </c>
      <c r="J3" s="1">
        <v>1</v>
      </c>
      <c r="K3" s="1">
        <f>J3*0.7</f>
        <v>0.7</v>
      </c>
      <c r="L3" s="1">
        <v>10</v>
      </c>
      <c r="M3" s="1">
        <f>L3*0.7</f>
        <v>7</v>
      </c>
    </row>
    <row r="4" spans="1:26">
      <c r="I4" s="6" t="s">
        <v>74</v>
      </c>
      <c r="J4" s="1">
        <v>0.35</v>
      </c>
      <c r="K4" s="1">
        <f>J4*0.7</f>
        <v>0.24499999999999997</v>
      </c>
      <c r="L4" s="1">
        <v>0</v>
      </c>
      <c r="M4" s="1">
        <f>L4*K4</f>
        <v>0</v>
      </c>
    </row>
    <row r="5" spans="1:26">
      <c r="I5" s="6" t="s">
        <v>31</v>
      </c>
      <c r="J5" s="1">
        <v>0.5</v>
      </c>
      <c r="K5" s="1"/>
      <c r="L5" s="1">
        <v>10</v>
      </c>
      <c r="M5" s="1">
        <f>L5*0.5</f>
        <v>5</v>
      </c>
    </row>
    <row r="6" spans="1:26">
      <c r="I6" s="6" t="s">
        <v>75</v>
      </c>
      <c r="J6" s="1">
        <v>1</v>
      </c>
      <c r="K6" s="1">
        <f t="shared" ref="K6:K7" si="0">J6*0.7</f>
        <v>0.7</v>
      </c>
      <c r="L6" s="1">
        <v>0</v>
      </c>
      <c r="M6" s="1">
        <f>L6*0.7</f>
        <v>0</v>
      </c>
    </row>
    <row r="7" spans="1:26">
      <c r="I7" s="1" t="s">
        <v>76</v>
      </c>
      <c r="J7" s="1">
        <v>1</v>
      </c>
      <c r="K7" s="1">
        <f t="shared" si="0"/>
        <v>0.7</v>
      </c>
      <c r="L7" s="1">
        <v>10</v>
      </c>
      <c r="M7" s="1">
        <f>L7*0.7</f>
        <v>7</v>
      </c>
    </row>
    <row r="8" spans="1:26">
      <c r="I8" s="6" t="s">
        <v>77</v>
      </c>
      <c r="J8" s="1">
        <v>1</v>
      </c>
      <c r="K8" s="1">
        <f>J8*0.7</f>
        <v>0.7</v>
      </c>
      <c r="L8" s="1">
        <v>31</v>
      </c>
      <c r="M8" s="1">
        <f>L8*0.7</f>
        <v>21.7</v>
      </c>
    </row>
    <row r="11" spans="1:26" s="6" customFormat="1">
      <c r="A11" s="2"/>
      <c r="B11" s="123" t="s">
        <v>78</v>
      </c>
      <c r="C11" s="7"/>
      <c r="D11" s="7"/>
      <c r="E11" s="7"/>
      <c r="F11" s="7"/>
      <c r="G11" s="7"/>
      <c r="H11" s="7"/>
      <c r="I11" s="7"/>
      <c r="J11" s="7"/>
      <c r="K11" s="8"/>
      <c r="L11" s="7"/>
      <c r="M11" s="7"/>
      <c r="N11" s="7"/>
      <c r="O11" s="7"/>
      <c r="P11" s="7"/>
      <c r="Q11" s="9"/>
      <c r="R11" s="10"/>
    </row>
    <row r="12" spans="1:26" s="6" customFormat="1">
      <c r="A12" s="75" t="s">
        <v>80</v>
      </c>
      <c r="B12" s="75"/>
      <c r="C12" s="7"/>
      <c r="D12" s="7"/>
      <c r="E12" s="7"/>
      <c r="F12" s="7"/>
      <c r="G12" s="7"/>
      <c r="H12" s="7"/>
      <c r="I12" s="7"/>
      <c r="J12" s="7"/>
      <c r="K12" s="8"/>
      <c r="L12" s="7"/>
      <c r="M12" s="7"/>
      <c r="N12" s="7"/>
      <c r="O12" s="7"/>
      <c r="P12" s="7"/>
      <c r="Q12" s="9"/>
      <c r="R12" s="10"/>
    </row>
    <row r="13" spans="1:26" s="6" customFormat="1" ht="14.25">
      <c r="A13" s="11"/>
      <c r="B13" s="11"/>
      <c r="C13" s="7"/>
      <c r="D13" s="7"/>
      <c r="E13" s="7"/>
      <c r="F13" s="7"/>
      <c r="G13" s="7"/>
      <c r="H13" s="7"/>
      <c r="I13" s="7"/>
      <c r="J13" s="7"/>
      <c r="K13" s="8"/>
      <c r="L13" s="7"/>
      <c r="M13" s="7"/>
      <c r="N13" s="7"/>
      <c r="O13" s="7"/>
      <c r="P13" s="7"/>
      <c r="Q13" s="9"/>
      <c r="R13" s="10"/>
    </row>
    <row r="14" spans="1:26" ht="13.5" customHeight="1" thickBot="1">
      <c r="A14" s="12"/>
      <c r="B14" s="12"/>
      <c r="C14" s="13"/>
      <c r="D14" s="14"/>
      <c r="E14" s="15"/>
      <c r="F14" s="13"/>
      <c r="G14" s="13"/>
      <c r="H14" s="13"/>
      <c r="I14" s="13"/>
      <c r="J14" s="13"/>
      <c r="K14" s="16"/>
      <c r="L14" s="15"/>
      <c r="M14" s="13"/>
      <c r="N14" s="13"/>
      <c r="O14" s="13"/>
      <c r="P14" s="13"/>
      <c r="Q14" s="17"/>
      <c r="R14" s="15"/>
    </row>
    <row r="15" spans="1:26">
      <c r="A15" s="79"/>
      <c r="B15" s="112" t="s">
        <v>100</v>
      </c>
      <c r="C15" s="80"/>
      <c r="D15" s="80"/>
      <c r="E15" s="80"/>
      <c r="F15" s="80"/>
      <c r="G15" s="80"/>
      <c r="H15" s="80"/>
      <c r="I15" s="80"/>
      <c r="J15" s="80"/>
      <c r="K15" s="113"/>
      <c r="L15" s="80"/>
      <c r="M15" s="80"/>
      <c r="N15" s="80"/>
      <c r="O15" s="80"/>
      <c r="P15" s="80"/>
      <c r="Q15" s="81"/>
      <c r="R15" s="82"/>
    </row>
    <row r="16" spans="1:26">
      <c r="A16" s="83" t="s">
        <v>0</v>
      </c>
      <c r="B16" s="62" t="s">
        <v>1</v>
      </c>
      <c r="C16" s="66" t="s">
        <v>2</v>
      </c>
      <c r="D16" s="66" t="s">
        <v>3</v>
      </c>
      <c r="E16" s="66" t="s">
        <v>3</v>
      </c>
      <c r="F16" s="66" t="s">
        <v>4</v>
      </c>
      <c r="G16" s="66" t="s">
        <v>5</v>
      </c>
      <c r="H16" s="66" t="s">
        <v>6</v>
      </c>
      <c r="I16" s="66" t="s">
        <v>7</v>
      </c>
      <c r="J16" s="66" t="s">
        <v>8</v>
      </c>
      <c r="K16" s="66" t="s">
        <v>9</v>
      </c>
      <c r="L16" s="66" t="s">
        <v>10</v>
      </c>
      <c r="M16" s="66" t="s">
        <v>11</v>
      </c>
      <c r="N16" s="66" t="s">
        <v>12</v>
      </c>
      <c r="O16" s="66" t="s">
        <v>13</v>
      </c>
      <c r="P16" s="66" t="s">
        <v>14</v>
      </c>
      <c r="Q16" s="67" t="s">
        <v>15</v>
      </c>
      <c r="R16" s="84" t="s">
        <v>16</v>
      </c>
      <c r="Z16" s="6"/>
    </row>
    <row r="17" spans="1:26">
      <c r="A17" s="83" t="s">
        <v>17</v>
      </c>
      <c r="B17" s="62" t="s">
        <v>18</v>
      </c>
      <c r="C17" s="66" t="s">
        <v>19</v>
      </c>
      <c r="D17" s="66" t="s">
        <v>20</v>
      </c>
      <c r="E17" s="66" t="s">
        <v>21</v>
      </c>
      <c r="F17" s="66" t="s">
        <v>22</v>
      </c>
      <c r="G17" s="66" t="s">
        <v>23</v>
      </c>
      <c r="H17" s="66" t="s">
        <v>24</v>
      </c>
      <c r="I17" s="66" t="s">
        <v>25</v>
      </c>
      <c r="J17" s="66" t="s">
        <v>26</v>
      </c>
      <c r="K17" s="66"/>
      <c r="L17" s="66" t="s">
        <v>26</v>
      </c>
      <c r="M17" s="66" t="s">
        <v>26</v>
      </c>
      <c r="N17" s="66" t="s">
        <v>26</v>
      </c>
      <c r="O17" s="66" t="s">
        <v>27</v>
      </c>
      <c r="P17" s="66" t="s">
        <v>28</v>
      </c>
      <c r="Q17" s="67" t="s">
        <v>29</v>
      </c>
      <c r="R17" s="84" t="s">
        <v>26</v>
      </c>
      <c r="T17" s="6" t="s">
        <v>30</v>
      </c>
      <c r="U17" s="1">
        <v>0.35</v>
      </c>
      <c r="V17" s="1">
        <f>U17*0.7</f>
        <v>0.24499999999999997</v>
      </c>
      <c r="W17" s="1">
        <v>10</v>
      </c>
      <c r="X17" s="1">
        <f>W17*0.245</f>
        <v>2.4500000000000002</v>
      </c>
      <c r="Z17" s="6"/>
    </row>
    <row r="18" spans="1:26">
      <c r="A18" s="85">
        <v>1</v>
      </c>
      <c r="B18" s="62" t="s">
        <v>32</v>
      </c>
      <c r="C18" s="66">
        <v>0.35</v>
      </c>
      <c r="D18" s="69">
        <f t="shared" ref="D18:D21" si="1">IF(C18&gt;=1,0.15*C18^0.5+0.004*C18,0.15*C18)</f>
        <v>5.2499999999999998E-2</v>
      </c>
      <c r="E18" s="68">
        <f t="shared" ref="E18:E21" si="2">D18*3600</f>
        <v>189</v>
      </c>
      <c r="F18" s="66">
        <v>1.5</v>
      </c>
      <c r="G18" s="66" t="s">
        <v>156</v>
      </c>
      <c r="H18" s="66">
        <v>0.5</v>
      </c>
      <c r="I18" s="66">
        <v>45.48</v>
      </c>
      <c r="J18" s="66">
        <f t="shared" ref="J18:J21" si="3">I18*F18</f>
        <v>68.22</v>
      </c>
      <c r="K18" s="66">
        <v>3</v>
      </c>
      <c r="L18" s="68">
        <f t="shared" ref="L18:L21" si="4">H18^2*49.5*K18</f>
        <v>37.125</v>
      </c>
      <c r="M18" s="66">
        <f t="shared" ref="M18:M21" si="5">J18+L18</f>
        <v>105.345</v>
      </c>
      <c r="N18" s="66">
        <v>300</v>
      </c>
      <c r="O18" s="66">
        <v>3000</v>
      </c>
      <c r="P18" s="66">
        <v>10.5</v>
      </c>
      <c r="Q18" s="67">
        <f>M18+N18+O18+P18*1000</f>
        <v>13905.345000000001</v>
      </c>
      <c r="R18" s="84">
        <f>Q18</f>
        <v>13905.345000000001</v>
      </c>
      <c r="T18" s="6" t="s">
        <v>30</v>
      </c>
      <c r="U18" s="1">
        <v>0.35</v>
      </c>
      <c r="V18" s="1">
        <f>U18*0.7</f>
        <v>0.24499999999999997</v>
      </c>
      <c r="W18" s="1">
        <v>10</v>
      </c>
      <c r="X18" s="1">
        <f>W18*0.245</f>
        <v>2.4500000000000002</v>
      </c>
      <c r="Z18" s="6"/>
    </row>
    <row r="19" spans="1:26">
      <c r="A19" s="85">
        <v>2</v>
      </c>
      <c r="B19" s="62" t="s">
        <v>84</v>
      </c>
      <c r="C19" s="66">
        <f>0.35+0.5</f>
        <v>0.85</v>
      </c>
      <c r="D19" s="69">
        <f t="shared" si="1"/>
        <v>0.1275</v>
      </c>
      <c r="E19" s="68">
        <f t="shared" si="2"/>
        <v>459</v>
      </c>
      <c r="F19" s="66">
        <v>1</v>
      </c>
      <c r="G19" s="66" t="s">
        <v>154</v>
      </c>
      <c r="H19" s="66">
        <v>0.79</v>
      </c>
      <c r="I19" s="66">
        <v>73.63</v>
      </c>
      <c r="J19" s="66">
        <f t="shared" si="3"/>
        <v>73.63</v>
      </c>
      <c r="K19" s="66">
        <v>2</v>
      </c>
      <c r="L19" s="68">
        <f t="shared" si="4"/>
        <v>61.785900000000012</v>
      </c>
      <c r="M19" s="66">
        <f t="shared" si="5"/>
        <v>135.41590000000002</v>
      </c>
      <c r="N19" s="66"/>
      <c r="O19" s="66"/>
      <c r="P19" s="66"/>
      <c r="Q19" s="67">
        <f t="shared" ref="Q19" si="6">M19+O19+P19*1000</f>
        <v>135.41590000000002</v>
      </c>
      <c r="R19" s="84">
        <f>R18+Q19</f>
        <v>14040.760900000001</v>
      </c>
      <c r="Z19" s="6"/>
    </row>
    <row r="20" spans="1:26">
      <c r="A20" s="85">
        <v>3</v>
      </c>
      <c r="B20" s="62" t="s">
        <v>85</v>
      </c>
      <c r="C20" s="66">
        <f>2*0.35+0.5</f>
        <v>1.2</v>
      </c>
      <c r="D20" s="69">
        <f t="shared" ref="D20" si="7">IF(C20&gt;=1,0.15*C20^0.5+0.004*C20,0.15*C20)</f>
        <v>0.16911676725154981</v>
      </c>
      <c r="E20" s="68">
        <f t="shared" ref="E20" si="8">D20*3600</f>
        <v>608.82036210557931</v>
      </c>
      <c r="F20" s="66">
        <v>0.5</v>
      </c>
      <c r="G20" s="66" t="s">
        <v>155</v>
      </c>
      <c r="H20" s="66">
        <v>0.66</v>
      </c>
      <c r="I20" s="66">
        <v>41.41</v>
      </c>
      <c r="J20" s="66">
        <f t="shared" ref="J20" si="9">I20*F20</f>
        <v>20.704999999999998</v>
      </c>
      <c r="K20" s="66">
        <v>2</v>
      </c>
      <c r="L20" s="68">
        <f t="shared" ref="L20" si="10">H20^2*49.5*K20</f>
        <v>43.124400000000001</v>
      </c>
      <c r="M20" s="66">
        <f t="shared" ref="M20" si="11">J20+L20</f>
        <v>63.8294</v>
      </c>
      <c r="N20" s="66"/>
      <c r="O20" s="66"/>
      <c r="P20" s="66"/>
      <c r="Q20" s="67">
        <f t="shared" ref="Q20" si="12">M20+O20+P20*1000</f>
        <v>63.8294</v>
      </c>
      <c r="R20" s="84">
        <f t="shared" ref="R20:R35" si="13">R19+Q20</f>
        <v>14104.590300000002</v>
      </c>
      <c r="Z20" s="6"/>
    </row>
    <row r="21" spans="1:26">
      <c r="A21" s="85">
        <v>4</v>
      </c>
      <c r="B21" s="62" t="s">
        <v>86</v>
      </c>
      <c r="C21" s="66">
        <f>2*0.35+0.5+0.17</f>
        <v>1.3699999999999999</v>
      </c>
      <c r="D21" s="69">
        <f t="shared" si="1"/>
        <v>0.18105049866079437</v>
      </c>
      <c r="E21" s="68">
        <f t="shared" si="2"/>
        <v>651.78179517885974</v>
      </c>
      <c r="F21" s="66">
        <v>1</v>
      </c>
      <c r="G21" s="66" t="s">
        <v>155</v>
      </c>
      <c r="H21" s="66">
        <v>0.71</v>
      </c>
      <c r="I21" s="66">
        <v>46.58</v>
      </c>
      <c r="J21" s="66">
        <f t="shared" si="3"/>
        <v>46.58</v>
      </c>
      <c r="K21" s="66">
        <v>2</v>
      </c>
      <c r="L21" s="68">
        <f t="shared" si="4"/>
        <v>49.905900000000003</v>
      </c>
      <c r="M21" s="66">
        <f t="shared" si="5"/>
        <v>96.485900000000001</v>
      </c>
      <c r="N21" s="66"/>
      <c r="O21" s="66"/>
      <c r="P21" s="66"/>
      <c r="Q21" s="67">
        <f t="shared" ref="Q21:Q33" si="14">M21+O21+P21*1000</f>
        <v>96.485900000000001</v>
      </c>
      <c r="R21" s="84">
        <f t="shared" si="13"/>
        <v>14201.076200000001</v>
      </c>
      <c r="T21" s="6" t="s">
        <v>31</v>
      </c>
      <c r="U21" s="1">
        <v>0.5</v>
      </c>
      <c r="W21" s="1">
        <v>10</v>
      </c>
      <c r="X21" s="1">
        <f>W21*0.5</f>
        <v>5</v>
      </c>
      <c r="Z21" s="6"/>
    </row>
    <row r="22" spans="1:26">
      <c r="A22" s="85">
        <v>5</v>
      </c>
      <c r="B22" s="62" t="s">
        <v>87</v>
      </c>
      <c r="C22" s="66">
        <f>2*0.35+1*0.5+1*0.17+1*0.5</f>
        <v>1.8699999999999999</v>
      </c>
      <c r="D22" s="69">
        <f t="shared" ref="D22" si="15">IF(C22&gt;=1,0.15*C22^0.5+0.004*C22,0.15*C22)</f>
        <v>0.21260191496766012</v>
      </c>
      <c r="E22" s="68">
        <f t="shared" ref="E22" si="16">D22*3600</f>
        <v>765.36689388357649</v>
      </c>
      <c r="F22" s="66">
        <v>0.5</v>
      </c>
      <c r="G22" s="66" t="s">
        <v>155</v>
      </c>
      <c r="H22" s="66">
        <v>0.84</v>
      </c>
      <c r="I22" s="66">
        <v>61.65</v>
      </c>
      <c r="J22" s="66">
        <f t="shared" ref="J22" si="17">I22*F22</f>
        <v>30.824999999999999</v>
      </c>
      <c r="K22" s="66">
        <v>2</v>
      </c>
      <c r="L22" s="68">
        <f t="shared" ref="L22" si="18">H22^2*49.5*K22</f>
        <v>69.854399999999984</v>
      </c>
      <c r="M22" s="66">
        <f t="shared" ref="M22" si="19">J22+L22</f>
        <v>100.67939999999999</v>
      </c>
      <c r="N22" s="66"/>
      <c r="O22" s="66"/>
      <c r="P22" s="66"/>
      <c r="Q22" s="67">
        <f t="shared" si="14"/>
        <v>100.67939999999999</v>
      </c>
      <c r="R22" s="84">
        <f t="shared" si="13"/>
        <v>14301.7556</v>
      </c>
      <c r="Z22" s="6"/>
    </row>
    <row r="23" spans="1:26">
      <c r="A23" s="85">
        <v>6</v>
      </c>
      <c r="B23" s="62" t="s">
        <v>88</v>
      </c>
      <c r="C23" s="66">
        <f>2*0.35+1*0.5+1*0.17+2*0.5</f>
        <v>2.37</v>
      </c>
      <c r="D23" s="69">
        <f>IF(C23&gt;=1,0.15*C23^0.5+0.004*C23,0.15*C23)</f>
        <v>0.24040206477510978</v>
      </c>
      <c r="E23" s="68">
        <f t="shared" ref="E23" si="20">D23*3600</f>
        <v>865.44743319039526</v>
      </c>
      <c r="F23" s="66">
        <v>0.5</v>
      </c>
      <c r="G23" s="66" t="s">
        <v>155</v>
      </c>
      <c r="H23" s="66">
        <v>0.94</v>
      </c>
      <c r="I23" s="66">
        <v>75.75</v>
      </c>
      <c r="J23" s="66">
        <f t="shared" ref="J23" si="21">I23*F23</f>
        <v>37.875</v>
      </c>
      <c r="K23" s="66">
        <v>2</v>
      </c>
      <c r="L23" s="68">
        <f t="shared" ref="L23" si="22">H23^2*49.5*K23</f>
        <v>87.476399999999998</v>
      </c>
      <c r="M23" s="66">
        <f t="shared" ref="M23" si="23">J23+L23</f>
        <v>125.3514</v>
      </c>
      <c r="N23" s="66"/>
      <c r="O23" s="66"/>
      <c r="P23" s="66"/>
      <c r="Q23" s="67">
        <f t="shared" si="14"/>
        <v>125.3514</v>
      </c>
      <c r="R23" s="84">
        <f t="shared" si="13"/>
        <v>14427.107</v>
      </c>
      <c r="Z23" s="6"/>
    </row>
    <row r="24" spans="1:26">
      <c r="A24" s="85">
        <v>7</v>
      </c>
      <c r="B24" s="62" t="s">
        <v>89</v>
      </c>
      <c r="C24" s="66">
        <f>2*0.35+1*0.5+1*0.17+3*0.5</f>
        <v>2.87</v>
      </c>
      <c r="D24" s="69">
        <f>IF(C24&gt;=1,0.15*C24^0.5+0.004*C24,0.15*C24)</f>
        <v>0.2655961151914612</v>
      </c>
      <c r="E24" s="68">
        <f t="shared" ref="E24" si="24">D24*3600</f>
        <v>956.14601468926037</v>
      </c>
      <c r="F24" s="66">
        <v>1</v>
      </c>
      <c r="G24" s="66" t="s">
        <v>152</v>
      </c>
      <c r="H24" s="66">
        <v>0.63</v>
      </c>
      <c r="I24" s="66">
        <v>27.27</v>
      </c>
      <c r="J24" s="66">
        <f t="shared" ref="J24" si="25">I24*F24</f>
        <v>27.27</v>
      </c>
      <c r="K24" s="66">
        <v>2</v>
      </c>
      <c r="L24" s="68">
        <f t="shared" ref="L24" si="26">H24^2*49.5*K24</f>
        <v>39.293100000000003</v>
      </c>
      <c r="M24" s="66">
        <f t="shared" ref="M24" si="27">J24+L24</f>
        <v>66.563100000000006</v>
      </c>
      <c r="N24" s="66"/>
      <c r="O24" s="66"/>
      <c r="P24" s="66"/>
      <c r="Q24" s="67">
        <f t="shared" si="14"/>
        <v>66.563100000000006</v>
      </c>
      <c r="R24" s="84">
        <f t="shared" si="13"/>
        <v>14493.670099999999</v>
      </c>
      <c r="Z24" s="6"/>
    </row>
    <row r="25" spans="1:26">
      <c r="A25" s="85">
        <v>8</v>
      </c>
      <c r="B25" s="62" t="s">
        <v>90</v>
      </c>
      <c r="C25" s="66">
        <f>2*0.35+1*0.5+1*0.17+4*0.5</f>
        <v>3.37</v>
      </c>
      <c r="D25" s="69">
        <f>IF(C25&gt;=1,0.15*C25^0.5+0.004*C25,0.15*C25)</f>
        <v>0.28884339626028727</v>
      </c>
      <c r="E25" s="68">
        <f t="shared" ref="E25:E27" si="28">D25*3600</f>
        <v>1039.8362265370342</v>
      </c>
      <c r="F25" s="66">
        <v>0.5</v>
      </c>
      <c r="G25" s="66" t="s">
        <v>152</v>
      </c>
      <c r="H25" s="66">
        <v>0.68</v>
      </c>
      <c r="I25" s="66">
        <v>31.46</v>
      </c>
      <c r="J25" s="66">
        <f t="shared" ref="J25:J27" si="29">I25*F25</f>
        <v>15.73</v>
      </c>
      <c r="K25" s="66">
        <v>2</v>
      </c>
      <c r="L25" s="68">
        <f t="shared" ref="L25:L27" si="30">H25^2*49.5*K25</f>
        <v>45.777600000000007</v>
      </c>
      <c r="M25" s="66">
        <f t="shared" ref="M25:M27" si="31">J25+L25</f>
        <v>61.507600000000011</v>
      </c>
      <c r="N25" s="66"/>
      <c r="O25" s="66"/>
      <c r="P25" s="66"/>
      <c r="Q25" s="67">
        <f t="shared" si="14"/>
        <v>61.507600000000011</v>
      </c>
      <c r="R25" s="84">
        <f t="shared" si="13"/>
        <v>14555.1777</v>
      </c>
      <c r="Z25" s="6"/>
    </row>
    <row r="26" spans="1:26">
      <c r="A26" s="85">
        <v>9</v>
      </c>
      <c r="B26" s="62" t="s">
        <v>91</v>
      </c>
      <c r="C26" s="66">
        <f>2*0.35+1*0.5+1*0.17+5*0.5</f>
        <v>3.87</v>
      </c>
      <c r="D26" s="69">
        <f>IF(C26&gt;=1,0.15*C26^0.5+0.004*C26,0.15*C26)</f>
        <v>0.31056473359359005</v>
      </c>
      <c r="E26" s="68">
        <f t="shared" si="28"/>
        <v>1118.0330409369242</v>
      </c>
      <c r="F26" s="66">
        <v>0.5</v>
      </c>
      <c r="G26" s="66" t="s">
        <v>152</v>
      </c>
      <c r="H26" s="66">
        <v>0.74</v>
      </c>
      <c r="I26" s="66">
        <v>35.71</v>
      </c>
      <c r="J26" s="66">
        <f t="shared" si="29"/>
        <v>17.855</v>
      </c>
      <c r="K26" s="66">
        <v>2</v>
      </c>
      <c r="L26" s="68">
        <f t="shared" si="30"/>
        <v>54.212399999999995</v>
      </c>
      <c r="M26" s="66">
        <f t="shared" si="31"/>
        <v>72.067399999999992</v>
      </c>
      <c r="N26" s="66"/>
      <c r="O26" s="66"/>
      <c r="P26" s="66"/>
      <c r="Q26" s="67">
        <f t="shared" si="14"/>
        <v>72.067399999999992</v>
      </c>
      <c r="R26" s="84">
        <f t="shared" si="13"/>
        <v>14627.2451</v>
      </c>
      <c r="Z26" s="6"/>
    </row>
    <row r="27" spans="1:26">
      <c r="A27" s="85">
        <v>10</v>
      </c>
      <c r="B27" s="62" t="s">
        <v>92</v>
      </c>
      <c r="C27" s="66">
        <f>5*0.35+1*0.5+1*0.17+5*0.5</f>
        <v>4.92</v>
      </c>
      <c r="D27" s="69">
        <f>IF(C27&gt;=1,0.15*C27^0.5+0.004*C27,0.15*C27)</f>
        <v>0.35239609519228243</v>
      </c>
      <c r="E27" s="68">
        <f t="shared" si="28"/>
        <v>1268.6259426922168</v>
      </c>
      <c r="F27" s="66">
        <v>0.5</v>
      </c>
      <c r="G27" s="66" t="s">
        <v>152</v>
      </c>
      <c r="H27" s="66">
        <v>0.83</v>
      </c>
      <c r="I27" s="66">
        <v>44.25</v>
      </c>
      <c r="J27" s="66">
        <f t="shared" si="29"/>
        <v>22.125</v>
      </c>
      <c r="K27" s="66">
        <v>2</v>
      </c>
      <c r="L27" s="68">
        <f t="shared" si="30"/>
        <v>68.201099999999997</v>
      </c>
      <c r="M27" s="66">
        <f t="shared" si="31"/>
        <v>90.326099999999997</v>
      </c>
      <c r="N27" s="66"/>
      <c r="O27" s="66"/>
      <c r="P27" s="66"/>
      <c r="Q27" s="67">
        <f t="shared" si="14"/>
        <v>90.326099999999997</v>
      </c>
      <c r="R27" s="84">
        <f t="shared" si="13"/>
        <v>14717.5712</v>
      </c>
      <c r="Z27" s="6"/>
    </row>
    <row r="28" spans="1:26">
      <c r="A28" s="85">
        <v>11</v>
      </c>
      <c r="B28" s="62" t="s">
        <v>93</v>
      </c>
      <c r="C28" s="66">
        <f>9*0.35+1*0.5+1*0.17+5*0.5</f>
        <v>6.32</v>
      </c>
      <c r="D28" s="69">
        <f t="shared" ref="D28:D29" si="32">IF(C28&gt;=1,0.15*C28^0.5+0.004*C28,0.15*C28)</f>
        <v>0.40237415269929611</v>
      </c>
      <c r="E28" s="68">
        <f t="shared" ref="E28:E29" si="33">D28*3600</f>
        <v>1448.5469497174661</v>
      </c>
      <c r="F28" s="66">
        <v>0.5</v>
      </c>
      <c r="G28" s="66" t="s">
        <v>152</v>
      </c>
      <c r="H28" s="66">
        <v>0.95</v>
      </c>
      <c r="I28" s="66">
        <v>55.72</v>
      </c>
      <c r="J28" s="66">
        <f t="shared" ref="J28:J29" si="34">I28*F28</f>
        <v>27.86</v>
      </c>
      <c r="K28" s="66">
        <v>2</v>
      </c>
      <c r="L28" s="68">
        <f t="shared" ref="L28:L29" si="35">H28^2*49.5*K28</f>
        <v>89.347499999999997</v>
      </c>
      <c r="M28" s="66">
        <f t="shared" ref="M28:M29" si="36">J28+L28</f>
        <v>117.2075</v>
      </c>
      <c r="N28" s="66"/>
      <c r="O28" s="66"/>
      <c r="P28" s="66"/>
      <c r="Q28" s="67">
        <f t="shared" si="14"/>
        <v>117.2075</v>
      </c>
      <c r="R28" s="84">
        <f t="shared" si="13"/>
        <v>14834.778700000001</v>
      </c>
      <c r="Z28" s="6"/>
    </row>
    <row r="29" spans="1:26" s="19" customFormat="1">
      <c r="A29" s="85">
        <v>12</v>
      </c>
      <c r="B29" s="62" t="s">
        <v>94</v>
      </c>
      <c r="C29" s="66">
        <f>10*0.35+1*0.5+2*0.17+10*0.5+2*1</f>
        <v>11.34</v>
      </c>
      <c r="D29" s="69">
        <f t="shared" si="32"/>
        <v>0.55048374721448201</v>
      </c>
      <c r="E29" s="68">
        <f t="shared" si="33"/>
        <v>1981.7414899721352</v>
      </c>
      <c r="F29" s="66">
        <v>5</v>
      </c>
      <c r="G29" s="66" t="s">
        <v>153</v>
      </c>
      <c r="H29" s="66">
        <v>0.83</v>
      </c>
      <c r="I29" s="66">
        <v>33.380000000000003</v>
      </c>
      <c r="J29" s="66">
        <f t="shared" si="34"/>
        <v>166.9</v>
      </c>
      <c r="K29" s="66">
        <v>2</v>
      </c>
      <c r="L29" s="68">
        <f t="shared" si="35"/>
        <v>68.201099999999997</v>
      </c>
      <c r="M29" s="66">
        <f t="shared" si="36"/>
        <v>235.1011</v>
      </c>
      <c r="N29" s="66"/>
      <c r="O29" s="66"/>
      <c r="P29" s="66"/>
      <c r="Q29" s="67">
        <f t="shared" si="14"/>
        <v>235.1011</v>
      </c>
      <c r="R29" s="84">
        <f t="shared" si="13"/>
        <v>15069.879800000001</v>
      </c>
      <c r="T29" s="18"/>
    </row>
    <row r="30" spans="1:26" s="19" customFormat="1">
      <c r="A30" s="85">
        <v>13</v>
      </c>
      <c r="B30" s="62" t="s">
        <v>95</v>
      </c>
      <c r="C30" s="66">
        <f>12*0.35+1*0.5+2*0.17+10*0.5+2*1</f>
        <v>12.04</v>
      </c>
      <c r="D30" s="69">
        <f t="shared" ref="D30" si="37">IF(C30&gt;=1,0.15*C30^0.5+0.004*C30,0.15*C30)</f>
        <v>0.56864054718692414</v>
      </c>
      <c r="E30" s="68">
        <f t="shared" ref="E30" si="38">D30*3600</f>
        <v>2047.1059698729268</v>
      </c>
      <c r="F30" s="66">
        <v>0.5</v>
      </c>
      <c r="G30" s="66" t="s">
        <v>153</v>
      </c>
      <c r="H30" s="66">
        <v>0.86</v>
      </c>
      <c r="I30" s="66">
        <v>35.42</v>
      </c>
      <c r="J30" s="66">
        <f t="shared" ref="J30" si="39">I30*F30</f>
        <v>17.71</v>
      </c>
      <c r="K30" s="66">
        <v>2</v>
      </c>
      <c r="L30" s="68">
        <f t="shared" ref="L30" si="40">H30^2*49.5*K30</f>
        <v>73.220399999999998</v>
      </c>
      <c r="M30" s="66">
        <f t="shared" ref="M30" si="41">J30+L30</f>
        <v>90.930399999999992</v>
      </c>
      <c r="N30" s="66"/>
      <c r="O30" s="66"/>
      <c r="P30" s="66"/>
      <c r="Q30" s="67">
        <f t="shared" si="14"/>
        <v>90.930399999999992</v>
      </c>
      <c r="R30" s="84">
        <f t="shared" si="13"/>
        <v>15160.8102</v>
      </c>
      <c r="T30" s="18"/>
    </row>
    <row r="31" spans="1:26" s="19" customFormat="1">
      <c r="A31" s="85">
        <v>14</v>
      </c>
      <c r="B31" s="62" t="s">
        <v>96</v>
      </c>
      <c r="C31" s="66">
        <f>16*0.35+1*0.5+2*0.17+10*0.5+2*1</f>
        <v>13.44</v>
      </c>
      <c r="D31" s="69">
        <f t="shared" ref="D31" si="42">IF(C31&gt;=1,0.15*C31^0.5+0.004*C31,0.15*C31)</f>
        <v>0.60366908339470082</v>
      </c>
      <c r="E31" s="68">
        <f t="shared" ref="E31" si="43">D31*3600</f>
        <v>2173.2087002209228</v>
      </c>
      <c r="F31" s="66">
        <v>0.5</v>
      </c>
      <c r="G31" s="66" t="s">
        <v>153</v>
      </c>
      <c r="H31" s="66">
        <v>0.91</v>
      </c>
      <c r="I31" s="66">
        <v>39.299999999999997</v>
      </c>
      <c r="J31" s="66">
        <f t="shared" ref="J31" si="44">I31*F31</f>
        <v>19.649999999999999</v>
      </c>
      <c r="K31" s="66">
        <v>2</v>
      </c>
      <c r="L31" s="68">
        <f t="shared" ref="L31" si="45">H31^2*49.5*K31</f>
        <v>81.98190000000001</v>
      </c>
      <c r="M31" s="66">
        <f t="shared" ref="M31" si="46">J31+L31</f>
        <v>101.6319</v>
      </c>
      <c r="N31" s="66"/>
      <c r="O31" s="66"/>
      <c r="P31" s="66"/>
      <c r="Q31" s="67">
        <f t="shared" si="14"/>
        <v>101.6319</v>
      </c>
      <c r="R31" s="84">
        <f t="shared" si="13"/>
        <v>15262.4421</v>
      </c>
      <c r="T31" s="18"/>
    </row>
    <row r="32" spans="1:26" s="19" customFormat="1">
      <c r="A32" s="85">
        <v>15</v>
      </c>
      <c r="B32" s="62" t="s">
        <v>97</v>
      </c>
      <c r="C32" s="66">
        <f>17*0.35+1*0.5+3*0.17+15*0.5+4*1</f>
        <v>18.46</v>
      </c>
      <c r="D32" s="69">
        <f t="shared" ref="D32" si="47">IF(C32&gt;=1,0.15*C32^0.5+0.004*C32,0.15*C32)</f>
        <v>0.71831653176822508</v>
      </c>
      <c r="E32" s="68">
        <f t="shared" ref="E32" si="48">D32*3600</f>
        <v>2585.9395143656102</v>
      </c>
      <c r="F32" s="66">
        <v>5</v>
      </c>
      <c r="G32" s="66" t="s">
        <v>153</v>
      </c>
      <c r="H32" s="66">
        <v>1.0900000000000001</v>
      </c>
      <c r="I32" s="66">
        <v>53.16</v>
      </c>
      <c r="J32" s="66">
        <f t="shared" ref="J32" si="49">I32*F32</f>
        <v>265.79999999999995</v>
      </c>
      <c r="K32" s="66">
        <v>2</v>
      </c>
      <c r="L32" s="68">
        <f t="shared" ref="L32" si="50">H32^2*49.5*K32</f>
        <v>117.62190000000001</v>
      </c>
      <c r="M32" s="66">
        <f t="shared" ref="M32" si="51">J32+L32</f>
        <v>383.42189999999994</v>
      </c>
      <c r="N32" s="66"/>
      <c r="O32" s="66"/>
      <c r="P32" s="66"/>
      <c r="Q32" s="67">
        <f t="shared" si="14"/>
        <v>383.42189999999994</v>
      </c>
      <c r="R32" s="84">
        <f t="shared" si="13"/>
        <v>15645.864</v>
      </c>
      <c r="T32" s="18"/>
    </row>
    <row r="33" spans="1:37" s="19" customFormat="1">
      <c r="A33" s="85">
        <v>16</v>
      </c>
      <c r="B33" s="62" t="s">
        <v>98</v>
      </c>
      <c r="C33" s="66">
        <f>19*0.35+1*0.5+3*0.17+15*0.5+4*1</f>
        <v>19.16</v>
      </c>
      <c r="D33" s="69">
        <f t="shared" ref="D33" si="52">IF(C33&gt;=1,0.15*C33^0.5+0.004*C33,0.15*C33)</f>
        <v>0.73322205884717861</v>
      </c>
      <c r="E33" s="68">
        <f t="shared" ref="E33" si="53">D33*3600</f>
        <v>2639.5994118498429</v>
      </c>
      <c r="F33" s="66">
        <v>0.5</v>
      </c>
      <c r="G33" s="66" t="s">
        <v>153</v>
      </c>
      <c r="H33" s="66">
        <v>1.1100000000000001</v>
      </c>
      <c r="I33" s="66">
        <v>55.12</v>
      </c>
      <c r="J33" s="66">
        <f t="shared" ref="J33" si="54">I33*F33</f>
        <v>27.56</v>
      </c>
      <c r="K33" s="66">
        <v>2</v>
      </c>
      <c r="L33" s="68">
        <f t="shared" ref="L33" si="55">H33^2*49.5*K33</f>
        <v>121.97790000000002</v>
      </c>
      <c r="M33" s="66">
        <f t="shared" ref="M33" si="56">J33+L33</f>
        <v>149.53790000000001</v>
      </c>
      <c r="N33" s="66"/>
      <c r="O33" s="66"/>
      <c r="P33" s="66"/>
      <c r="Q33" s="67">
        <f t="shared" si="14"/>
        <v>149.53790000000001</v>
      </c>
      <c r="R33" s="84">
        <f t="shared" si="13"/>
        <v>15795.401899999999</v>
      </c>
      <c r="T33" s="18"/>
    </row>
    <row r="34" spans="1:37" s="19" customFormat="1">
      <c r="A34" s="85">
        <v>17</v>
      </c>
      <c r="B34" s="62" t="s">
        <v>99</v>
      </c>
      <c r="C34" s="66">
        <f>22*0.35+1*0.5+3*0.17+15*0.5+4*1</f>
        <v>20.21</v>
      </c>
      <c r="D34" s="69">
        <f t="shared" ref="D34" si="57">IF(C34&gt;=1,0.15*C34^0.5+0.004*C34,0.15*C34)</f>
        <v>0.75517300378967078</v>
      </c>
      <c r="E34" s="68">
        <f t="shared" ref="E34" si="58">D34*3600</f>
        <v>2718.6228136428149</v>
      </c>
      <c r="F34" s="66">
        <v>4</v>
      </c>
      <c r="G34" s="66" t="s">
        <v>153</v>
      </c>
      <c r="H34" s="66">
        <v>1.1499999999999999</v>
      </c>
      <c r="I34" s="66">
        <v>58.46</v>
      </c>
      <c r="J34" s="66">
        <f t="shared" ref="J34" si="59">I34*F34</f>
        <v>233.84</v>
      </c>
      <c r="K34" s="66">
        <v>2</v>
      </c>
      <c r="L34" s="68">
        <f t="shared" ref="L34" si="60">H34^2*49.5*K34</f>
        <v>130.92749999999998</v>
      </c>
      <c r="M34" s="66">
        <f t="shared" ref="M34" si="61">J34+L34</f>
        <v>364.76749999999998</v>
      </c>
      <c r="N34" s="66"/>
      <c r="O34" s="66"/>
      <c r="P34" s="66"/>
      <c r="Q34" s="67">
        <f t="shared" ref="Q34" si="62">M34+O34+P34*1000</f>
        <v>364.76749999999998</v>
      </c>
      <c r="R34" s="84">
        <f t="shared" si="13"/>
        <v>16160.169399999999</v>
      </c>
      <c r="T34" s="18"/>
    </row>
    <row r="35" spans="1:37" s="19" customFormat="1" ht="15.75" thickBot="1">
      <c r="A35" s="86">
        <v>18</v>
      </c>
      <c r="B35" s="87" t="s">
        <v>126</v>
      </c>
      <c r="C35" s="88">
        <f>29*0.35+1*0.5+3*0.17+15*0.5+4*1+2*1+1*9.8</f>
        <v>34.459999999999994</v>
      </c>
      <c r="D35" s="89">
        <f t="shared" ref="D35" si="63">IF(C35&gt;=1,0.15*C35^0.5+0.004*C35,0.15*C35)</f>
        <v>1.0183796072863502</v>
      </c>
      <c r="E35" s="90">
        <f t="shared" ref="E35" si="64">D35*3600</f>
        <v>3666.166586230861</v>
      </c>
      <c r="F35" s="88">
        <v>2</v>
      </c>
      <c r="G35" s="88" t="s">
        <v>158</v>
      </c>
      <c r="H35" s="88">
        <v>0.99</v>
      </c>
      <c r="I35" s="88">
        <v>34.159999999999997</v>
      </c>
      <c r="J35" s="88">
        <f t="shared" ref="J35" si="65">I35*F35</f>
        <v>68.319999999999993</v>
      </c>
      <c r="K35" s="88">
        <v>4</v>
      </c>
      <c r="L35" s="90">
        <f t="shared" ref="L35" si="66">H35^2*49.5*K35</f>
        <v>194.0598</v>
      </c>
      <c r="M35" s="88">
        <f t="shared" ref="M35" si="67">J35+L35</f>
        <v>262.37979999999999</v>
      </c>
      <c r="N35" s="88"/>
      <c r="O35" s="88"/>
      <c r="P35" s="88"/>
      <c r="Q35" s="91">
        <f t="shared" ref="Q35" si="68">M35+O35+P35*1000</f>
        <v>262.37979999999999</v>
      </c>
      <c r="R35" s="92">
        <f t="shared" si="13"/>
        <v>16422.549199999998</v>
      </c>
      <c r="T35" s="18"/>
    </row>
    <row r="36" spans="1:37" ht="15.75" thickBot="1">
      <c r="A36" s="115"/>
      <c r="B36" s="116" t="s">
        <v>101</v>
      </c>
      <c r="C36" s="117"/>
      <c r="D36" s="117"/>
      <c r="E36" s="117"/>
      <c r="F36" s="117"/>
      <c r="G36" s="117"/>
      <c r="H36" s="117"/>
      <c r="I36" s="117"/>
      <c r="J36" s="117"/>
      <c r="K36" s="118"/>
      <c r="L36" s="117"/>
      <c r="M36" s="117"/>
      <c r="N36" s="117"/>
      <c r="O36" s="117"/>
      <c r="P36" s="117"/>
      <c r="Q36" s="119"/>
      <c r="R36" s="120"/>
      <c r="T36" s="1"/>
      <c r="Y36" s="19"/>
      <c r="Z36" s="19"/>
      <c r="AA36" s="21"/>
      <c r="AB36" s="106"/>
      <c r="AC36" s="54"/>
      <c r="AD36" s="21"/>
      <c r="AE36" s="21"/>
      <c r="AF36" s="21"/>
      <c r="AG36" s="21"/>
      <c r="AH36" s="21"/>
      <c r="AI36" s="21"/>
      <c r="AJ36" s="54"/>
      <c r="AK36" s="21"/>
    </row>
    <row r="37" spans="1:37">
      <c r="A37" s="79" t="s">
        <v>0</v>
      </c>
      <c r="B37" s="121" t="s">
        <v>1</v>
      </c>
      <c r="C37" s="80" t="s">
        <v>2</v>
      </c>
      <c r="D37" s="80" t="s">
        <v>3</v>
      </c>
      <c r="E37" s="80" t="s">
        <v>3</v>
      </c>
      <c r="F37" s="80" t="s">
        <v>4</v>
      </c>
      <c r="G37" s="80" t="s">
        <v>5</v>
      </c>
      <c r="H37" s="80" t="s">
        <v>6</v>
      </c>
      <c r="I37" s="80" t="s">
        <v>7</v>
      </c>
      <c r="J37" s="80" t="s">
        <v>8</v>
      </c>
      <c r="K37" s="80" t="s">
        <v>9</v>
      </c>
      <c r="L37" s="80" t="s">
        <v>10</v>
      </c>
      <c r="M37" s="80" t="s">
        <v>11</v>
      </c>
      <c r="N37" s="80" t="s">
        <v>12</v>
      </c>
      <c r="O37" s="80" t="s">
        <v>13</v>
      </c>
      <c r="P37" s="80" t="s">
        <v>14</v>
      </c>
      <c r="Q37" s="81" t="s">
        <v>15</v>
      </c>
      <c r="R37" s="82" t="s">
        <v>16</v>
      </c>
      <c r="T37" s="1"/>
      <c r="Y37" s="19"/>
      <c r="Z37" s="18"/>
      <c r="AA37" s="19"/>
      <c r="AB37" s="19"/>
      <c r="AC37" s="19"/>
      <c r="AD37" s="19"/>
      <c r="AE37" s="21"/>
      <c r="AF37" s="19"/>
      <c r="AG37" s="19"/>
      <c r="AH37" s="19"/>
      <c r="AI37" s="19"/>
      <c r="AJ37" s="19"/>
      <c r="AK37" s="19"/>
    </row>
    <row r="38" spans="1:37">
      <c r="A38" s="83" t="s">
        <v>17</v>
      </c>
      <c r="B38" s="62" t="s">
        <v>18</v>
      </c>
      <c r="C38" s="66" t="s">
        <v>19</v>
      </c>
      <c r="D38" s="66" t="s">
        <v>20</v>
      </c>
      <c r="E38" s="66" t="s">
        <v>21</v>
      </c>
      <c r="F38" s="66" t="s">
        <v>22</v>
      </c>
      <c r="G38" s="66" t="s">
        <v>23</v>
      </c>
      <c r="H38" s="66" t="s">
        <v>24</v>
      </c>
      <c r="I38" s="66" t="s">
        <v>25</v>
      </c>
      <c r="J38" s="66" t="s">
        <v>26</v>
      </c>
      <c r="K38" s="66"/>
      <c r="L38" s="66" t="s">
        <v>26</v>
      </c>
      <c r="M38" s="66" t="s">
        <v>26</v>
      </c>
      <c r="N38" s="66" t="s">
        <v>26</v>
      </c>
      <c r="O38" s="66" t="s">
        <v>27</v>
      </c>
      <c r="P38" s="66" t="s">
        <v>28</v>
      </c>
      <c r="Q38" s="67" t="s">
        <v>29</v>
      </c>
      <c r="R38" s="84" t="s">
        <v>26</v>
      </c>
      <c r="T38" s="1"/>
      <c r="Y38" s="19"/>
      <c r="Z38" s="18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37">
      <c r="A39" s="85">
        <v>1</v>
      </c>
      <c r="B39" s="62" t="s">
        <v>32</v>
      </c>
      <c r="C39" s="66">
        <v>0.35</v>
      </c>
      <c r="D39" s="69">
        <f t="shared" ref="D39:D41" si="69">IF(C39&gt;=1,0.15*C39^0.5+0.004*C39,0.15*C39)</f>
        <v>5.2499999999999998E-2</v>
      </c>
      <c r="E39" s="68">
        <f t="shared" ref="E39:E41" si="70">D39*3600</f>
        <v>189</v>
      </c>
      <c r="F39" s="66">
        <v>0.5</v>
      </c>
      <c r="G39" s="66" t="s">
        <v>156</v>
      </c>
      <c r="H39" s="66">
        <v>0.5</v>
      </c>
      <c r="I39" s="66">
        <v>45.48</v>
      </c>
      <c r="J39" s="66">
        <f t="shared" ref="J39:J41" si="71">I39*F39</f>
        <v>22.74</v>
      </c>
      <c r="K39" s="66">
        <v>3</v>
      </c>
      <c r="L39" s="68">
        <f t="shared" ref="L39:L41" si="72">H39^2*49.5*K39</f>
        <v>37.125</v>
      </c>
      <c r="M39" s="66">
        <f t="shared" ref="M39:M41" si="73">J39+L39</f>
        <v>59.864999999999995</v>
      </c>
      <c r="N39" s="66">
        <v>300</v>
      </c>
      <c r="O39" s="66">
        <v>3000</v>
      </c>
      <c r="P39" s="66">
        <v>10.5</v>
      </c>
      <c r="Q39" s="67">
        <f>M39+N39+O39+P39*1000</f>
        <v>13859.865</v>
      </c>
      <c r="R39" s="84">
        <f>Q39</f>
        <v>13859.865</v>
      </c>
      <c r="T39" s="1"/>
      <c r="Z39" s="6"/>
    </row>
    <row r="40" spans="1:37">
      <c r="A40" s="85">
        <v>2</v>
      </c>
      <c r="B40" s="62" t="s">
        <v>102</v>
      </c>
      <c r="C40" s="66">
        <f>2*0.35</f>
        <v>0.7</v>
      </c>
      <c r="D40" s="69">
        <f t="shared" si="69"/>
        <v>0.105</v>
      </c>
      <c r="E40" s="68">
        <f t="shared" si="70"/>
        <v>378</v>
      </c>
      <c r="F40" s="66">
        <v>3</v>
      </c>
      <c r="G40" s="66" t="s">
        <v>154</v>
      </c>
      <c r="H40" s="66">
        <v>0.64</v>
      </c>
      <c r="I40" s="66">
        <v>52.49</v>
      </c>
      <c r="J40" s="66">
        <f t="shared" si="71"/>
        <v>157.47</v>
      </c>
      <c r="K40" s="66">
        <v>2</v>
      </c>
      <c r="L40" s="68">
        <f t="shared" si="72"/>
        <v>40.550400000000003</v>
      </c>
      <c r="M40" s="66">
        <f t="shared" si="73"/>
        <v>198.0204</v>
      </c>
      <c r="N40" s="66"/>
      <c r="O40" s="66"/>
      <c r="P40" s="66"/>
      <c r="Q40" s="67">
        <f t="shared" ref="Q40:Q41" si="74">M40+O40+P40*1000</f>
        <v>198.0204</v>
      </c>
      <c r="R40" s="84">
        <f>R39+Q40</f>
        <v>14057.885399999999</v>
      </c>
      <c r="T40" s="1"/>
      <c r="Z40" s="6"/>
    </row>
    <row r="41" spans="1:37" ht="15.75" thickBot="1">
      <c r="A41" s="86">
        <v>3</v>
      </c>
      <c r="B41" s="87" t="s">
        <v>103</v>
      </c>
      <c r="C41" s="88">
        <f>3*0.35</f>
        <v>1.0499999999999998</v>
      </c>
      <c r="D41" s="89">
        <f t="shared" si="69"/>
        <v>0.15790426148939396</v>
      </c>
      <c r="E41" s="90">
        <f t="shared" si="70"/>
        <v>568.45534136181823</v>
      </c>
      <c r="F41" s="88">
        <v>3</v>
      </c>
      <c r="G41" s="88" t="s">
        <v>155</v>
      </c>
      <c r="H41" s="88">
        <v>0.62</v>
      </c>
      <c r="I41" s="88">
        <v>36.89</v>
      </c>
      <c r="J41" s="88">
        <f t="shared" si="71"/>
        <v>110.67</v>
      </c>
      <c r="K41" s="88">
        <v>4</v>
      </c>
      <c r="L41" s="90">
        <f t="shared" si="72"/>
        <v>76.111200000000011</v>
      </c>
      <c r="M41" s="88">
        <f t="shared" si="73"/>
        <v>186.78120000000001</v>
      </c>
      <c r="N41" s="88"/>
      <c r="O41" s="88"/>
      <c r="P41" s="88"/>
      <c r="Q41" s="91">
        <f t="shared" si="74"/>
        <v>186.78120000000001</v>
      </c>
      <c r="R41" s="122">
        <f>R40+Q41</f>
        <v>14244.666599999999</v>
      </c>
      <c r="T41" s="1"/>
      <c r="Z41" s="6"/>
    </row>
    <row r="42" spans="1:37" ht="15.75" thickBot="1">
      <c r="A42" s="115"/>
      <c r="B42" s="116" t="s">
        <v>104</v>
      </c>
      <c r="C42" s="117"/>
      <c r="D42" s="117"/>
      <c r="E42" s="117"/>
      <c r="F42" s="117"/>
      <c r="G42" s="117"/>
      <c r="H42" s="117"/>
      <c r="I42" s="117"/>
      <c r="J42" s="117"/>
      <c r="K42" s="118"/>
      <c r="L42" s="117"/>
      <c r="M42" s="117"/>
      <c r="N42" s="117"/>
      <c r="O42" s="117"/>
      <c r="P42" s="117"/>
      <c r="Q42" s="119"/>
      <c r="R42" s="120"/>
      <c r="Z42" s="6"/>
    </row>
    <row r="43" spans="1:37">
      <c r="A43" s="79" t="s">
        <v>0</v>
      </c>
      <c r="B43" s="121" t="s">
        <v>1</v>
      </c>
      <c r="C43" s="80" t="s">
        <v>2</v>
      </c>
      <c r="D43" s="80" t="s">
        <v>3</v>
      </c>
      <c r="E43" s="80" t="s">
        <v>3</v>
      </c>
      <c r="F43" s="80" t="s">
        <v>4</v>
      </c>
      <c r="G43" s="80" t="s">
        <v>5</v>
      </c>
      <c r="H43" s="80" t="s">
        <v>6</v>
      </c>
      <c r="I43" s="80" t="s">
        <v>7</v>
      </c>
      <c r="J43" s="80" t="s">
        <v>8</v>
      </c>
      <c r="K43" s="80" t="s">
        <v>9</v>
      </c>
      <c r="L43" s="80" t="s">
        <v>10</v>
      </c>
      <c r="M43" s="80" t="s">
        <v>11</v>
      </c>
      <c r="N43" s="80" t="s">
        <v>12</v>
      </c>
      <c r="O43" s="80" t="s">
        <v>13</v>
      </c>
      <c r="P43" s="80" t="s">
        <v>14</v>
      </c>
      <c r="Q43" s="81" t="s">
        <v>15</v>
      </c>
      <c r="R43" s="82" t="s">
        <v>16</v>
      </c>
      <c r="Z43" s="6"/>
    </row>
    <row r="44" spans="1:37">
      <c r="A44" s="83" t="s">
        <v>17</v>
      </c>
      <c r="B44" s="62" t="s">
        <v>18</v>
      </c>
      <c r="C44" s="66" t="s">
        <v>19</v>
      </c>
      <c r="D44" s="66" t="s">
        <v>20</v>
      </c>
      <c r="E44" s="66" t="s">
        <v>21</v>
      </c>
      <c r="F44" s="66" t="s">
        <v>22</v>
      </c>
      <c r="G44" s="66" t="s">
        <v>23</v>
      </c>
      <c r="H44" s="66" t="s">
        <v>24</v>
      </c>
      <c r="I44" s="66" t="s">
        <v>25</v>
      </c>
      <c r="J44" s="66" t="s">
        <v>26</v>
      </c>
      <c r="K44" s="66"/>
      <c r="L44" s="66" t="s">
        <v>26</v>
      </c>
      <c r="M44" s="66" t="s">
        <v>26</v>
      </c>
      <c r="N44" s="66" t="s">
        <v>26</v>
      </c>
      <c r="O44" s="66" t="s">
        <v>27</v>
      </c>
      <c r="P44" s="66" t="s">
        <v>28</v>
      </c>
      <c r="Q44" s="67" t="s">
        <v>29</v>
      </c>
      <c r="R44" s="84" t="s">
        <v>26</v>
      </c>
      <c r="T44" s="24"/>
      <c r="U44" s="24"/>
      <c r="V44" s="24"/>
      <c r="W44" s="24"/>
      <c r="X44" s="24"/>
      <c r="Z44" s="6"/>
    </row>
    <row r="45" spans="1:37">
      <c r="A45" s="85">
        <v>1</v>
      </c>
      <c r="B45" s="62" t="s">
        <v>32</v>
      </c>
      <c r="C45" s="66">
        <v>0.35</v>
      </c>
      <c r="D45" s="69">
        <f t="shared" ref="D45:D48" si="75">IF(C45&gt;=1,0.15*C45^0.5+0.004*C45,0.15*C45)</f>
        <v>5.2499999999999998E-2</v>
      </c>
      <c r="E45" s="68">
        <f t="shared" ref="E45:E48" si="76">D45*3600</f>
        <v>189</v>
      </c>
      <c r="F45" s="66">
        <v>0.5</v>
      </c>
      <c r="G45" s="66" t="s">
        <v>156</v>
      </c>
      <c r="H45" s="66">
        <v>0.5</v>
      </c>
      <c r="I45" s="66">
        <v>45.48</v>
      </c>
      <c r="J45" s="66">
        <f t="shared" ref="J45:J48" si="77">I45*F45</f>
        <v>22.74</v>
      </c>
      <c r="K45" s="66">
        <v>3</v>
      </c>
      <c r="L45" s="68">
        <f t="shared" ref="L45:L48" si="78">H45^2*49.5*K45</f>
        <v>37.125</v>
      </c>
      <c r="M45" s="66">
        <f t="shared" ref="M45:M48" si="79">J45+L45</f>
        <v>59.864999999999995</v>
      </c>
      <c r="N45" s="66">
        <v>300</v>
      </c>
      <c r="O45" s="66">
        <v>3000</v>
      </c>
      <c r="P45" s="66">
        <v>10.5</v>
      </c>
      <c r="Q45" s="67">
        <f>M45+N45+O45+P45*1000</f>
        <v>13859.865</v>
      </c>
      <c r="R45" s="84">
        <f>Q45</f>
        <v>13859.865</v>
      </c>
      <c r="T45" s="24"/>
      <c r="U45" s="24"/>
      <c r="V45" s="24"/>
      <c r="W45" s="24"/>
      <c r="X45" s="24"/>
    </row>
    <row r="46" spans="1:37">
      <c r="A46" s="85">
        <v>2</v>
      </c>
      <c r="B46" s="62" t="s">
        <v>102</v>
      </c>
      <c r="C46" s="66">
        <f>2*0.35</f>
        <v>0.7</v>
      </c>
      <c r="D46" s="69">
        <f t="shared" si="75"/>
        <v>0.105</v>
      </c>
      <c r="E46" s="68">
        <f t="shared" si="76"/>
        <v>378</v>
      </c>
      <c r="F46" s="66">
        <v>1</v>
      </c>
      <c r="G46" s="66" t="s">
        <v>154</v>
      </c>
      <c r="H46" s="66">
        <v>0.64</v>
      </c>
      <c r="I46" s="66">
        <v>52.49</v>
      </c>
      <c r="J46" s="66">
        <f t="shared" si="77"/>
        <v>52.49</v>
      </c>
      <c r="K46" s="66">
        <v>2</v>
      </c>
      <c r="L46" s="68">
        <f t="shared" si="78"/>
        <v>40.550400000000003</v>
      </c>
      <c r="M46" s="66">
        <f t="shared" si="79"/>
        <v>93.040400000000005</v>
      </c>
      <c r="N46" s="66"/>
      <c r="O46" s="66"/>
      <c r="P46" s="66"/>
      <c r="Q46" s="67">
        <f t="shared" ref="Q46:Q48" si="80">M46+O46+P46*1000</f>
        <v>93.040400000000005</v>
      </c>
      <c r="R46" s="84">
        <f>R45+Q46</f>
        <v>13952.9054</v>
      </c>
      <c r="T46" s="1"/>
    </row>
    <row r="47" spans="1:37">
      <c r="A47" s="85">
        <v>3</v>
      </c>
      <c r="B47" s="62" t="s">
        <v>103</v>
      </c>
      <c r="C47" s="66">
        <f>3*0.35</f>
        <v>1.0499999999999998</v>
      </c>
      <c r="D47" s="69">
        <f t="shared" ref="D47" si="81">IF(C47&gt;=1,0.15*C47^0.5+0.004*C47,0.15*C47)</f>
        <v>0.15790426148939396</v>
      </c>
      <c r="E47" s="68">
        <f t="shared" ref="E47" si="82">D47*3600</f>
        <v>568.45534136181823</v>
      </c>
      <c r="F47" s="66">
        <v>0.5</v>
      </c>
      <c r="G47" s="66" t="s">
        <v>155</v>
      </c>
      <c r="H47" s="66">
        <v>0.62</v>
      </c>
      <c r="I47" s="66">
        <v>36.89</v>
      </c>
      <c r="J47" s="66">
        <f t="shared" ref="J47" si="83">I47*F47</f>
        <v>18.445</v>
      </c>
      <c r="K47" s="66">
        <v>2</v>
      </c>
      <c r="L47" s="68">
        <f t="shared" ref="L47" si="84">H47^2*49.5*K47</f>
        <v>38.055600000000005</v>
      </c>
      <c r="M47" s="66">
        <f t="shared" ref="M47" si="85">J47+L47</f>
        <v>56.500600000000006</v>
      </c>
      <c r="N47" s="66"/>
      <c r="O47" s="66"/>
      <c r="P47" s="66"/>
      <c r="Q47" s="67">
        <f t="shared" ref="Q47" si="86">M47+O47+P47*1000</f>
        <v>56.500600000000006</v>
      </c>
      <c r="R47" s="84">
        <f>R46+Q47</f>
        <v>14009.405999999999</v>
      </c>
      <c r="T47" s="1"/>
    </row>
    <row r="48" spans="1:37" s="24" customFormat="1" ht="15.75" thickBot="1">
      <c r="A48" s="86">
        <v>4</v>
      </c>
      <c r="B48" s="87" t="s">
        <v>105</v>
      </c>
      <c r="C48" s="88">
        <f>4*0.35</f>
        <v>1.4</v>
      </c>
      <c r="D48" s="89">
        <f t="shared" si="75"/>
        <v>0.18308239349298847</v>
      </c>
      <c r="E48" s="90">
        <f t="shared" si="76"/>
        <v>659.09661657475851</v>
      </c>
      <c r="F48" s="88">
        <v>3</v>
      </c>
      <c r="G48" s="88" t="s">
        <v>155</v>
      </c>
      <c r="H48" s="88">
        <v>0.72</v>
      </c>
      <c r="I48" s="88">
        <v>47.47</v>
      </c>
      <c r="J48" s="88">
        <f t="shared" si="77"/>
        <v>142.41</v>
      </c>
      <c r="K48" s="88">
        <v>4</v>
      </c>
      <c r="L48" s="90">
        <f t="shared" si="78"/>
        <v>102.64319999999999</v>
      </c>
      <c r="M48" s="88">
        <f t="shared" si="79"/>
        <v>245.0532</v>
      </c>
      <c r="N48" s="88"/>
      <c r="O48" s="88"/>
      <c r="P48" s="88"/>
      <c r="Q48" s="91">
        <f t="shared" si="80"/>
        <v>245.0532</v>
      </c>
      <c r="R48" s="122">
        <f>R46+Q48</f>
        <v>14197.9586</v>
      </c>
      <c r="T48" s="1"/>
      <c r="U48" s="1"/>
      <c r="V48" s="1"/>
      <c r="W48" s="1"/>
      <c r="X48" s="1"/>
    </row>
    <row r="49" spans="1:24" s="24" customFormat="1" ht="15.75" thickBot="1">
      <c r="A49" s="115"/>
      <c r="B49" s="116" t="s">
        <v>106</v>
      </c>
      <c r="C49" s="117"/>
      <c r="D49" s="117"/>
      <c r="E49" s="117"/>
      <c r="F49" s="117"/>
      <c r="G49" s="117"/>
      <c r="H49" s="117"/>
      <c r="I49" s="117"/>
      <c r="J49" s="117"/>
      <c r="K49" s="118"/>
      <c r="L49" s="117"/>
      <c r="M49" s="117"/>
      <c r="N49" s="117"/>
      <c r="O49" s="117"/>
      <c r="P49" s="117"/>
      <c r="Q49" s="119"/>
      <c r="R49" s="120"/>
      <c r="T49" s="1"/>
      <c r="U49" s="1"/>
      <c r="V49" s="1"/>
      <c r="W49" s="1"/>
      <c r="X49" s="1"/>
    </row>
    <row r="50" spans="1:24" ht="13.5" customHeight="1">
      <c r="A50" s="79" t="s">
        <v>0</v>
      </c>
      <c r="B50" s="121" t="s">
        <v>1</v>
      </c>
      <c r="C50" s="80" t="s">
        <v>2</v>
      </c>
      <c r="D50" s="80" t="s">
        <v>3</v>
      </c>
      <c r="E50" s="80" t="s">
        <v>3</v>
      </c>
      <c r="F50" s="80" t="s">
        <v>4</v>
      </c>
      <c r="G50" s="80" t="s">
        <v>5</v>
      </c>
      <c r="H50" s="80" t="s">
        <v>6</v>
      </c>
      <c r="I50" s="80" t="s">
        <v>7</v>
      </c>
      <c r="J50" s="80" t="s">
        <v>8</v>
      </c>
      <c r="K50" s="80" t="s">
        <v>9</v>
      </c>
      <c r="L50" s="80" t="s">
        <v>10</v>
      </c>
      <c r="M50" s="80" t="s">
        <v>11</v>
      </c>
      <c r="N50" s="80" t="s">
        <v>12</v>
      </c>
      <c r="O50" s="80" t="s">
        <v>13</v>
      </c>
      <c r="P50" s="80" t="s">
        <v>14</v>
      </c>
      <c r="Q50" s="81" t="s">
        <v>15</v>
      </c>
      <c r="R50" s="82" t="s">
        <v>16</v>
      </c>
      <c r="T50" s="18"/>
      <c r="U50" s="19"/>
      <c r="V50" s="19"/>
      <c r="W50" s="19"/>
      <c r="X50" s="19"/>
    </row>
    <row r="51" spans="1:24" ht="13.5" customHeight="1">
      <c r="A51" s="83" t="s">
        <v>17</v>
      </c>
      <c r="B51" s="62" t="s">
        <v>18</v>
      </c>
      <c r="C51" s="66" t="s">
        <v>19</v>
      </c>
      <c r="D51" s="66" t="s">
        <v>20</v>
      </c>
      <c r="E51" s="66" t="s">
        <v>21</v>
      </c>
      <c r="F51" s="66" t="s">
        <v>22</v>
      </c>
      <c r="G51" s="66" t="s">
        <v>23</v>
      </c>
      <c r="H51" s="66" t="s">
        <v>24</v>
      </c>
      <c r="I51" s="66" t="s">
        <v>25</v>
      </c>
      <c r="J51" s="66" t="s">
        <v>26</v>
      </c>
      <c r="K51" s="66"/>
      <c r="L51" s="66" t="s">
        <v>26</v>
      </c>
      <c r="M51" s="66" t="s">
        <v>26</v>
      </c>
      <c r="N51" s="66" t="s">
        <v>26</v>
      </c>
      <c r="O51" s="66" t="s">
        <v>27</v>
      </c>
      <c r="P51" s="66" t="s">
        <v>28</v>
      </c>
      <c r="Q51" s="67" t="s">
        <v>29</v>
      </c>
      <c r="R51" s="84" t="s">
        <v>26</v>
      </c>
    </row>
    <row r="52" spans="1:24" ht="13.5" customHeight="1">
      <c r="A52" s="85">
        <v>1</v>
      </c>
      <c r="B52" s="62" t="s">
        <v>32</v>
      </c>
      <c r="C52" s="66">
        <v>0.35</v>
      </c>
      <c r="D52" s="69">
        <f t="shared" ref="D52:D60" si="87">IF(C52&gt;=1,0.15*C52^0.5+0.004*C52,0.15*C52)</f>
        <v>5.2499999999999998E-2</v>
      </c>
      <c r="E52" s="68">
        <f t="shared" ref="E52:E60" si="88">D52*3600</f>
        <v>189</v>
      </c>
      <c r="F52" s="66">
        <v>1.5</v>
      </c>
      <c r="G52" s="66" t="s">
        <v>156</v>
      </c>
      <c r="H52" s="66">
        <v>0.5</v>
      </c>
      <c r="I52" s="66">
        <v>45.48</v>
      </c>
      <c r="J52" s="66">
        <f t="shared" ref="J52:J60" si="89">I52*F52</f>
        <v>68.22</v>
      </c>
      <c r="K52" s="66">
        <v>3</v>
      </c>
      <c r="L52" s="68">
        <f t="shared" ref="L52:L60" si="90">H52^2*49.5*K52</f>
        <v>37.125</v>
      </c>
      <c r="M52" s="66">
        <f t="shared" ref="M52:M60" si="91">J52+L52</f>
        <v>105.345</v>
      </c>
      <c r="N52" s="66">
        <v>300</v>
      </c>
      <c r="O52" s="66">
        <v>3000</v>
      </c>
      <c r="P52" s="66">
        <v>5.7</v>
      </c>
      <c r="Q52" s="67">
        <f>M52+N52+O52+P52*1000</f>
        <v>9105.3450000000012</v>
      </c>
      <c r="R52" s="84">
        <f>Q52</f>
        <v>9105.3450000000012</v>
      </c>
    </row>
    <row r="53" spans="1:24" s="19" customFormat="1">
      <c r="A53" s="85">
        <v>2</v>
      </c>
      <c r="B53" s="62" t="s">
        <v>107</v>
      </c>
      <c r="C53" s="66">
        <f>1*0.35+1*0.17</f>
        <v>0.52</v>
      </c>
      <c r="D53" s="69">
        <f t="shared" si="87"/>
        <v>7.8E-2</v>
      </c>
      <c r="E53" s="68">
        <f t="shared" si="88"/>
        <v>280.8</v>
      </c>
      <c r="F53" s="66">
        <v>1</v>
      </c>
      <c r="G53" s="66" t="s">
        <v>154</v>
      </c>
      <c r="H53" s="66">
        <v>0.48</v>
      </c>
      <c r="I53" s="66">
        <v>31.68</v>
      </c>
      <c r="J53" s="66">
        <f t="shared" si="89"/>
        <v>31.68</v>
      </c>
      <c r="K53" s="66">
        <v>2</v>
      </c>
      <c r="L53" s="68">
        <f t="shared" si="90"/>
        <v>22.8096</v>
      </c>
      <c r="M53" s="66">
        <f t="shared" si="91"/>
        <v>54.489599999999996</v>
      </c>
      <c r="N53" s="66"/>
      <c r="O53" s="66"/>
      <c r="P53" s="66"/>
      <c r="Q53" s="67">
        <f t="shared" ref="Q53:Q60" si="92">M53+O53+P53*1000</f>
        <v>54.489599999999996</v>
      </c>
      <c r="R53" s="84">
        <f>R52+Q53</f>
        <v>9159.834600000002</v>
      </c>
      <c r="T53" s="6"/>
      <c r="U53" s="1"/>
      <c r="V53" s="1"/>
      <c r="W53" s="1"/>
      <c r="X53" s="1"/>
    </row>
    <row r="54" spans="1:24" s="19" customFormat="1">
      <c r="A54" s="85">
        <v>3</v>
      </c>
      <c r="B54" s="62" t="s">
        <v>108</v>
      </c>
      <c r="C54" s="66">
        <f>1*0.35+1*0.17+1*0.5</f>
        <v>1.02</v>
      </c>
      <c r="D54" s="69">
        <f t="shared" ref="D54:D57" si="93">IF(C54&gt;=1,0.15*C54^0.5+0.004*C54,0.15*C54)</f>
        <v>0.15557257407543118</v>
      </c>
      <c r="E54" s="68">
        <f t="shared" ref="E54:E57" si="94">D54*3600</f>
        <v>560.06126667155229</v>
      </c>
      <c r="F54" s="66">
        <v>0.5</v>
      </c>
      <c r="G54" s="66" t="s">
        <v>155</v>
      </c>
      <c r="H54" s="66">
        <v>0.61</v>
      </c>
      <c r="I54" s="66">
        <v>36.1</v>
      </c>
      <c r="J54" s="66">
        <f t="shared" ref="J54:J57" si="95">I54*F54</f>
        <v>18.05</v>
      </c>
      <c r="K54" s="66">
        <v>2</v>
      </c>
      <c r="L54" s="68">
        <f t="shared" ref="L54:L57" si="96">H54^2*49.5*K54</f>
        <v>36.837899999999998</v>
      </c>
      <c r="M54" s="66">
        <f t="shared" ref="M54:M57" si="97">J54+L54</f>
        <v>54.887900000000002</v>
      </c>
      <c r="N54" s="66"/>
      <c r="O54" s="66"/>
      <c r="P54" s="66"/>
      <c r="Q54" s="67">
        <f t="shared" ref="Q54:Q57" si="98">M54+O54+P54*1000</f>
        <v>54.887900000000002</v>
      </c>
      <c r="R54" s="84">
        <f>R53+Q54</f>
        <v>9214.7225000000017</v>
      </c>
      <c r="T54" s="6"/>
      <c r="U54" s="1"/>
      <c r="V54" s="1"/>
      <c r="W54" s="1"/>
      <c r="X54" s="1"/>
    </row>
    <row r="55" spans="1:24" s="19" customFormat="1">
      <c r="A55" s="85">
        <v>4</v>
      </c>
      <c r="B55" s="62" t="s">
        <v>109</v>
      </c>
      <c r="C55" s="66">
        <f>1*0.35+1*0.17+2*0.5</f>
        <v>1.52</v>
      </c>
      <c r="D55" s="69">
        <f t="shared" si="93"/>
        <v>0.1910124200890693</v>
      </c>
      <c r="E55" s="68">
        <f t="shared" si="94"/>
        <v>687.64471232064943</v>
      </c>
      <c r="F55" s="66">
        <v>1</v>
      </c>
      <c r="G55" s="66" t="s">
        <v>155</v>
      </c>
      <c r="H55" s="66">
        <v>0.75</v>
      </c>
      <c r="I55" s="66">
        <v>51.09</v>
      </c>
      <c r="J55" s="66">
        <f t="shared" si="95"/>
        <v>51.09</v>
      </c>
      <c r="K55" s="66">
        <v>2</v>
      </c>
      <c r="L55" s="68">
        <f t="shared" si="96"/>
        <v>55.6875</v>
      </c>
      <c r="M55" s="66">
        <f t="shared" si="97"/>
        <v>106.7775</v>
      </c>
      <c r="N55" s="66"/>
      <c r="O55" s="66"/>
      <c r="P55" s="66"/>
      <c r="Q55" s="67">
        <f t="shared" si="98"/>
        <v>106.7775</v>
      </c>
      <c r="R55" s="84">
        <f>R54+Q55</f>
        <v>9321.5000000000018</v>
      </c>
      <c r="T55" s="6"/>
      <c r="U55" s="1"/>
      <c r="V55" s="1"/>
      <c r="W55" s="1"/>
      <c r="X55" s="1"/>
    </row>
    <row r="56" spans="1:24" s="19" customFormat="1">
      <c r="A56" s="85">
        <v>5</v>
      </c>
      <c r="B56" s="62" t="s">
        <v>110</v>
      </c>
      <c r="C56" s="66">
        <f>1*0.35+1*0.17+3*0.5</f>
        <v>2.02</v>
      </c>
      <c r="D56" s="69">
        <f t="shared" si="93"/>
        <v>0.22127005605327843</v>
      </c>
      <c r="E56" s="68">
        <f t="shared" si="94"/>
        <v>796.5722017918024</v>
      </c>
      <c r="F56" s="66">
        <v>0.5</v>
      </c>
      <c r="G56" s="66" t="s">
        <v>155</v>
      </c>
      <c r="H56" s="66">
        <v>0.87</v>
      </c>
      <c r="I56" s="66">
        <v>65.69</v>
      </c>
      <c r="J56" s="66">
        <f t="shared" si="95"/>
        <v>32.844999999999999</v>
      </c>
      <c r="K56" s="66">
        <v>2</v>
      </c>
      <c r="L56" s="68">
        <f t="shared" si="96"/>
        <v>74.933099999999996</v>
      </c>
      <c r="M56" s="66">
        <f t="shared" si="97"/>
        <v>107.77809999999999</v>
      </c>
      <c r="N56" s="66"/>
      <c r="O56" s="66"/>
      <c r="P56" s="66"/>
      <c r="Q56" s="67">
        <f t="shared" si="98"/>
        <v>107.77809999999999</v>
      </c>
      <c r="R56" s="84">
        <f>R55+Q56</f>
        <v>9429.2781000000014</v>
      </c>
      <c r="T56" s="6"/>
      <c r="U56" s="1"/>
      <c r="V56" s="1"/>
      <c r="W56" s="1"/>
      <c r="X56" s="1"/>
    </row>
    <row r="57" spans="1:24" s="19" customFormat="1">
      <c r="A57" s="85">
        <v>6</v>
      </c>
      <c r="B57" s="62" t="s">
        <v>163</v>
      </c>
      <c r="C57" s="66">
        <v>3.02</v>
      </c>
      <c r="D57" s="69">
        <f t="shared" si="93"/>
        <v>0.27275220795474148</v>
      </c>
      <c r="E57" s="68">
        <f t="shared" si="94"/>
        <v>981.90794863706935</v>
      </c>
      <c r="F57" s="66">
        <v>0.5</v>
      </c>
      <c r="G57" s="66" t="s">
        <v>152</v>
      </c>
      <c r="H57" s="66">
        <v>0.65</v>
      </c>
      <c r="I57" s="66">
        <v>23.56</v>
      </c>
      <c r="J57" s="66">
        <f t="shared" si="95"/>
        <v>11.78</v>
      </c>
      <c r="K57" s="66">
        <v>2</v>
      </c>
      <c r="L57" s="68">
        <f t="shared" si="96"/>
        <v>41.827500000000008</v>
      </c>
      <c r="M57" s="66">
        <f t="shared" si="97"/>
        <v>53.607500000000009</v>
      </c>
      <c r="N57" s="66"/>
      <c r="O57" s="66"/>
      <c r="P57" s="66"/>
      <c r="Q57" s="67">
        <f t="shared" si="98"/>
        <v>53.607500000000009</v>
      </c>
      <c r="R57" s="84">
        <f>R56+Q57</f>
        <v>9482.8856000000014</v>
      </c>
      <c r="T57" s="6"/>
      <c r="U57" s="1"/>
      <c r="V57" s="1"/>
      <c r="W57" s="1"/>
      <c r="X57" s="1"/>
    </row>
    <row r="58" spans="1:24" s="19" customFormat="1">
      <c r="A58" s="85">
        <v>7</v>
      </c>
      <c r="B58" s="62" t="s">
        <v>164</v>
      </c>
      <c r="C58" s="66">
        <v>4.0199999999999996</v>
      </c>
      <c r="D58" s="69">
        <f t="shared" si="87"/>
        <v>0.31682906483645129</v>
      </c>
      <c r="E58" s="68">
        <f t="shared" si="88"/>
        <v>1140.5846334112246</v>
      </c>
      <c r="F58" s="66">
        <v>1</v>
      </c>
      <c r="G58" s="66" t="s">
        <v>152</v>
      </c>
      <c r="H58" s="66">
        <v>0.75</v>
      </c>
      <c r="I58" s="66">
        <v>30.95</v>
      </c>
      <c r="J58" s="66">
        <f t="shared" si="89"/>
        <v>30.95</v>
      </c>
      <c r="K58" s="66">
        <v>2</v>
      </c>
      <c r="L58" s="68">
        <f t="shared" si="90"/>
        <v>55.6875</v>
      </c>
      <c r="M58" s="66">
        <f t="shared" si="91"/>
        <v>86.637500000000003</v>
      </c>
      <c r="N58" s="66"/>
      <c r="O58" s="66"/>
      <c r="P58" s="66"/>
      <c r="Q58" s="67">
        <f t="shared" si="92"/>
        <v>86.637500000000003</v>
      </c>
      <c r="R58" s="84">
        <f>R53+Q58</f>
        <v>9246.4721000000027</v>
      </c>
      <c r="T58" s="6"/>
      <c r="U58" s="1"/>
      <c r="V58" s="1"/>
      <c r="W58" s="1"/>
      <c r="X58" s="1"/>
    </row>
    <row r="59" spans="1:24" s="19" customFormat="1">
      <c r="A59" s="85">
        <v>8</v>
      </c>
      <c r="B59" s="62" t="s">
        <v>165</v>
      </c>
      <c r="C59" s="66">
        <v>4.5199999999999996</v>
      </c>
      <c r="D59" s="69">
        <f t="shared" ref="D59" si="99">IF(C59&gt;=1,0.15*C59^0.5+0.004*C59,0.15*C59)</f>
        <v>0.33698437438203943</v>
      </c>
      <c r="E59" s="68">
        <f t="shared" ref="E59" si="100">D59*3600</f>
        <v>1213.143747775342</v>
      </c>
      <c r="F59" s="66">
        <v>0.5</v>
      </c>
      <c r="G59" s="66" t="s">
        <v>152</v>
      </c>
      <c r="H59" s="66">
        <v>0.8</v>
      </c>
      <c r="I59" s="66">
        <v>34.619999999999997</v>
      </c>
      <c r="J59" s="66">
        <f t="shared" ref="J59" si="101">I59*F59</f>
        <v>17.309999999999999</v>
      </c>
      <c r="K59" s="66">
        <v>2</v>
      </c>
      <c r="L59" s="68">
        <f t="shared" ref="L59" si="102">H59^2*49.5*K59</f>
        <v>63.360000000000014</v>
      </c>
      <c r="M59" s="66">
        <f t="shared" ref="M59" si="103">J59+L59</f>
        <v>80.670000000000016</v>
      </c>
      <c r="N59" s="66"/>
      <c r="O59" s="66"/>
      <c r="P59" s="66"/>
      <c r="Q59" s="67">
        <f t="shared" ref="Q59" si="104">M59+O59+P59*1000</f>
        <v>80.670000000000016</v>
      </c>
      <c r="R59" s="84">
        <f>R54+Q59</f>
        <v>9295.3925000000017</v>
      </c>
      <c r="T59" s="6"/>
      <c r="U59" s="1"/>
      <c r="V59" s="1"/>
      <c r="W59" s="1"/>
      <c r="X59" s="1"/>
    </row>
    <row r="60" spans="1:24" ht="15.75" thickBot="1">
      <c r="A60" s="85">
        <v>9</v>
      </c>
      <c r="B60" s="87" t="s">
        <v>111</v>
      </c>
      <c r="C60" s="88">
        <f>1*0.35+1*0.17+5*0.5+2*1</f>
        <v>5.0199999999999996</v>
      </c>
      <c r="D60" s="89">
        <f t="shared" si="87"/>
        <v>0.35616034753612114</v>
      </c>
      <c r="E60" s="90">
        <f t="shared" si="88"/>
        <v>1282.177251130036</v>
      </c>
      <c r="F60" s="88">
        <v>0.5</v>
      </c>
      <c r="G60" s="88" t="s">
        <v>152</v>
      </c>
      <c r="H60" s="88">
        <v>0.84</v>
      </c>
      <c r="I60" s="88">
        <v>38.28</v>
      </c>
      <c r="J60" s="88">
        <f t="shared" si="89"/>
        <v>19.14</v>
      </c>
      <c r="K60" s="88">
        <v>4</v>
      </c>
      <c r="L60" s="90">
        <f t="shared" si="90"/>
        <v>139.70879999999997</v>
      </c>
      <c r="M60" s="88">
        <f t="shared" si="91"/>
        <v>158.84879999999998</v>
      </c>
      <c r="N60" s="88"/>
      <c r="O60" s="88"/>
      <c r="P60" s="88"/>
      <c r="Q60" s="91">
        <f t="shared" si="92"/>
        <v>158.84879999999998</v>
      </c>
      <c r="R60" s="122">
        <f>R53+Q60</f>
        <v>9318.6834000000017</v>
      </c>
    </row>
    <row r="61" spans="1:24" ht="15.75" thickBot="1">
      <c r="A61" s="115"/>
      <c r="B61" s="116" t="s">
        <v>112</v>
      </c>
      <c r="C61" s="117"/>
      <c r="D61" s="117"/>
      <c r="E61" s="117"/>
      <c r="F61" s="117"/>
      <c r="G61" s="117"/>
      <c r="H61" s="117"/>
      <c r="I61" s="117"/>
      <c r="J61" s="117"/>
      <c r="K61" s="118"/>
      <c r="L61" s="117"/>
      <c r="M61" s="117"/>
      <c r="N61" s="117"/>
      <c r="O61" s="117"/>
      <c r="P61" s="117"/>
      <c r="Q61" s="119"/>
      <c r="R61" s="120"/>
    </row>
    <row r="62" spans="1:24">
      <c r="A62" s="79" t="s">
        <v>0</v>
      </c>
      <c r="B62" s="121" t="s">
        <v>1</v>
      </c>
      <c r="C62" s="80" t="s">
        <v>2</v>
      </c>
      <c r="D62" s="80" t="s">
        <v>3</v>
      </c>
      <c r="E62" s="80" t="s">
        <v>3</v>
      </c>
      <c r="F62" s="80" t="s">
        <v>4</v>
      </c>
      <c r="G62" s="80" t="s">
        <v>5</v>
      </c>
      <c r="H62" s="80" t="s">
        <v>6</v>
      </c>
      <c r="I62" s="80" t="s">
        <v>7</v>
      </c>
      <c r="J62" s="80" t="s">
        <v>8</v>
      </c>
      <c r="K62" s="80" t="s">
        <v>9</v>
      </c>
      <c r="L62" s="80" t="s">
        <v>10</v>
      </c>
      <c r="M62" s="80" t="s">
        <v>11</v>
      </c>
      <c r="N62" s="80" t="s">
        <v>12</v>
      </c>
      <c r="O62" s="80" t="s">
        <v>13</v>
      </c>
      <c r="P62" s="80" t="s">
        <v>14</v>
      </c>
      <c r="Q62" s="81" t="s">
        <v>15</v>
      </c>
      <c r="R62" s="82" t="s">
        <v>16</v>
      </c>
    </row>
    <row r="63" spans="1:24">
      <c r="A63" s="83" t="s">
        <v>17</v>
      </c>
      <c r="B63" s="62" t="s">
        <v>18</v>
      </c>
      <c r="C63" s="66" t="s">
        <v>19</v>
      </c>
      <c r="D63" s="66" t="s">
        <v>20</v>
      </c>
      <c r="E63" s="66" t="s">
        <v>21</v>
      </c>
      <c r="F63" s="66" t="s">
        <v>22</v>
      </c>
      <c r="G63" s="66" t="s">
        <v>23</v>
      </c>
      <c r="H63" s="66" t="s">
        <v>24</v>
      </c>
      <c r="I63" s="66" t="s">
        <v>25</v>
      </c>
      <c r="J63" s="66" t="s">
        <v>26</v>
      </c>
      <c r="K63" s="66"/>
      <c r="L63" s="66" t="s">
        <v>26</v>
      </c>
      <c r="M63" s="66" t="s">
        <v>26</v>
      </c>
      <c r="N63" s="66" t="s">
        <v>26</v>
      </c>
      <c r="O63" s="66" t="s">
        <v>27</v>
      </c>
      <c r="P63" s="66" t="s">
        <v>28</v>
      </c>
      <c r="Q63" s="67" t="s">
        <v>29</v>
      </c>
      <c r="R63" s="84" t="s">
        <v>26</v>
      </c>
    </row>
    <row r="64" spans="1:24">
      <c r="A64" s="85">
        <v>1</v>
      </c>
      <c r="B64" s="62" t="s">
        <v>32</v>
      </c>
      <c r="C64" s="66">
        <v>0.35</v>
      </c>
      <c r="D64" s="69">
        <f t="shared" ref="D64:D65" si="105">IF(C64&gt;=1,0.15*C64^0.5+0.004*C64,0.15*C64)</f>
        <v>5.2499999999999998E-2</v>
      </c>
      <c r="E64" s="68">
        <f t="shared" ref="E64:E65" si="106">D64*3600</f>
        <v>189</v>
      </c>
      <c r="F64" s="66">
        <v>2</v>
      </c>
      <c r="G64" s="66" t="s">
        <v>156</v>
      </c>
      <c r="H64" s="66">
        <v>0.5</v>
      </c>
      <c r="I64" s="66">
        <v>45.48</v>
      </c>
      <c r="J64" s="66">
        <f t="shared" ref="J64:J65" si="107">I64*F64</f>
        <v>90.96</v>
      </c>
      <c r="K64" s="66">
        <v>3</v>
      </c>
      <c r="L64" s="68">
        <f t="shared" ref="L64:L65" si="108">H64^2*49.5*K64</f>
        <v>37.125</v>
      </c>
      <c r="M64" s="66">
        <f t="shared" ref="M64:M65" si="109">J64+L64</f>
        <v>128.08499999999998</v>
      </c>
      <c r="N64" s="66">
        <v>300</v>
      </c>
      <c r="O64" s="66">
        <v>3000</v>
      </c>
      <c r="P64" s="66">
        <v>5.7</v>
      </c>
      <c r="Q64" s="67">
        <f>M64+N64+O64+P64*1000</f>
        <v>9128.0849999999991</v>
      </c>
      <c r="R64" s="84">
        <f>Q64</f>
        <v>9128.0849999999991</v>
      </c>
    </row>
    <row r="65" spans="1:26" ht="15.75" thickBot="1">
      <c r="A65" s="86">
        <v>2</v>
      </c>
      <c r="B65" s="87" t="s">
        <v>102</v>
      </c>
      <c r="C65" s="88">
        <f>2*0.35</f>
        <v>0.7</v>
      </c>
      <c r="D65" s="89">
        <f t="shared" si="105"/>
        <v>0.105</v>
      </c>
      <c r="E65" s="90">
        <f t="shared" si="106"/>
        <v>378</v>
      </c>
      <c r="F65" s="88">
        <v>4</v>
      </c>
      <c r="G65" s="88" t="s">
        <v>154</v>
      </c>
      <c r="H65" s="88">
        <v>0.64</v>
      </c>
      <c r="I65" s="88">
        <v>52.49</v>
      </c>
      <c r="J65" s="88">
        <f t="shared" si="107"/>
        <v>209.96</v>
      </c>
      <c r="K65" s="88">
        <v>4</v>
      </c>
      <c r="L65" s="90">
        <f t="shared" si="108"/>
        <v>81.100800000000007</v>
      </c>
      <c r="M65" s="88">
        <f t="shared" si="109"/>
        <v>291.06080000000003</v>
      </c>
      <c r="N65" s="88"/>
      <c r="O65" s="88"/>
      <c r="P65" s="88"/>
      <c r="Q65" s="91">
        <f t="shared" ref="Q65" si="110">M65+O65+P65*1000</f>
        <v>291.06080000000003</v>
      </c>
      <c r="R65" s="92">
        <f>R64+Q65</f>
        <v>9419.1457999999984</v>
      </c>
    </row>
    <row r="66" spans="1:26" ht="15.75" thickBot="1">
      <c r="A66" s="115"/>
      <c r="B66" s="116" t="s">
        <v>113</v>
      </c>
      <c r="C66" s="117"/>
      <c r="D66" s="117"/>
      <c r="E66" s="117"/>
      <c r="F66" s="117"/>
      <c r="G66" s="117"/>
      <c r="H66" s="117"/>
      <c r="I66" s="117"/>
      <c r="J66" s="117"/>
      <c r="K66" s="118"/>
      <c r="L66" s="117"/>
      <c r="M66" s="117"/>
      <c r="N66" s="117"/>
      <c r="O66" s="117"/>
      <c r="P66" s="117"/>
      <c r="Q66" s="119"/>
      <c r="R66" s="120"/>
    </row>
    <row r="67" spans="1:26">
      <c r="A67" s="79" t="s">
        <v>0</v>
      </c>
      <c r="B67" s="121" t="s">
        <v>1</v>
      </c>
      <c r="C67" s="80" t="s">
        <v>2</v>
      </c>
      <c r="D67" s="80" t="s">
        <v>3</v>
      </c>
      <c r="E67" s="80" t="s">
        <v>3</v>
      </c>
      <c r="F67" s="80" t="s">
        <v>4</v>
      </c>
      <c r="G67" s="80" t="s">
        <v>5</v>
      </c>
      <c r="H67" s="80" t="s">
        <v>6</v>
      </c>
      <c r="I67" s="80" t="s">
        <v>7</v>
      </c>
      <c r="J67" s="80" t="s">
        <v>8</v>
      </c>
      <c r="K67" s="80" t="s">
        <v>9</v>
      </c>
      <c r="L67" s="80" t="s">
        <v>10</v>
      </c>
      <c r="M67" s="80" t="s">
        <v>11</v>
      </c>
      <c r="N67" s="80" t="s">
        <v>12</v>
      </c>
      <c r="O67" s="80" t="s">
        <v>13</v>
      </c>
      <c r="P67" s="80" t="s">
        <v>14</v>
      </c>
      <c r="Q67" s="81" t="s">
        <v>15</v>
      </c>
      <c r="R67" s="82" t="s">
        <v>16</v>
      </c>
      <c r="T67" s="24"/>
      <c r="U67" s="24"/>
      <c r="V67" s="24"/>
      <c r="W67" s="24"/>
      <c r="X67" s="24"/>
    </row>
    <row r="68" spans="1:26">
      <c r="A68" s="83" t="s">
        <v>17</v>
      </c>
      <c r="B68" s="62" t="s">
        <v>18</v>
      </c>
      <c r="C68" s="66" t="s">
        <v>19</v>
      </c>
      <c r="D68" s="66" t="s">
        <v>20</v>
      </c>
      <c r="E68" s="66" t="s">
        <v>21</v>
      </c>
      <c r="F68" s="66" t="s">
        <v>22</v>
      </c>
      <c r="G68" s="66" t="s">
        <v>23</v>
      </c>
      <c r="H68" s="66" t="s">
        <v>24</v>
      </c>
      <c r="I68" s="66" t="s">
        <v>25</v>
      </c>
      <c r="J68" s="66" t="s">
        <v>26</v>
      </c>
      <c r="K68" s="66"/>
      <c r="L68" s="66" t="s">
        <v>26</v>
      </c>
      <c r="M68" s="66" t="s">
        <v>26</v>
      </c>
      <c r="N68" s="66" t="s">
        <v>26</v>
      </c>
      <c r="O68" s="66" t="s">
        <v>27</v>
      </c>
      <c r="P68" s="66" t="s">
        <v>28</v>
      </c>
      <c r="Q68" s="67" t="s">
        <v>29</v>
      </c>
      <c r="R68" s="84" t="s">
        <v>26</v>
      </c>
      <c r="T68" s="24"/>
      <c r="U68" s="24"/>
      <c r="V68" s="24"/>
      <c r="W68" s="24"/>
      <c r="X68" s="24"/>
    </row>
    <row r="69" spans="1:26">
      <c r="A69" s="85">
        <v>1</v>
      </c>
      <c r="B69" s="62" t="s">
        <v>32</v>
      </c>
      <c r="C69" s="66">
        <v>0.35</v>
      </c>
      <c r="D69" s="69">
        <f t="shared" ref="D69:D72" si="111">IF(C69&gt;=1,0.15*C69^0.5+0.004*C69,0.15*C69)</f>
        <v>5.2499999999999998E-2</v>
      </c>
      <c r="E69" s="68">
        <f t="shared" ref="E69:E72" si="112">D69*3600</f>
        <v>189</v>
      </c>
      <c r="F69" s="66">
        <v>0.5</v>
      </c>
      <c r="G69" s="66" t="s">
        <v>156</v>
      </c>
      <c r="H69" s="66">
        <v>0.5</v>
      </c>
      <c r="I69" s="66">
        <v>45.48</v>
      </c>
      <c r="J69" s="66">
        <f t="shared" ref="J69:J72" si="113">I69*F69</f>
        <v>22.74</v>
      </c>
      <c r="K69" s="66">
        <v>3</v>
      </c>
      <c r="L69" s="68">
        <f t="shared" ref="L69:L72" si="114">H69^2*49.5*K69</f>
        <v>37.125</v>
      </c>
      <c r="M69" s="66">
        <f t="shared" ref="M69:M72" si="115">J69+L69</f>
        <v>59.864999999999995</v>
      </c>
      <c r="N69" s="66">
        <v>300</v>
      </c>
      <c r="O69" s="66">
        <v>3000</v>
      </c>
      <c r="P69" s="66">
        <v>5.7</v>
      </c>
      <c r="Q69" s="67">
        <f>M69+N69+O69+P69*1000</f>
        <v>9059.8649999999998</v>
      </c>
      <c r="R69" s="84">
        <f>Q69</f>
        <v>9059.8649999999998</v>
      </c>
    </row>
    <row r="70" spans="1:26" s="24" customFormat="1">
      <c r="A70" s="85">
        <v>2</v>
      </c>
      <c r="B70" s="62" t="s">
        <v>102</v>
      </c>
      <c r="C70" s="66">
        <f>2*0.35</f>
        <v>0.7</v>
      </c>
      <c r="D70" s="69">
        <f t="shared" si="111"/>
        <v>0.105</v>
      </c>
      <c r="E70" s="68">
        <f t="shared" si="112"/>
        <v>378</v>
      </c>
      <c r="F70" s="66">
        <v>1</v>
      </c>
      <c r="G70" s="66" t="s">
        <v>154</v>
      </c>
      <c r="H70" s="66">
        <v>0.64</v>
      </c>
      <c r="I70" s="66">
        <v>52.49</v>
      </c>
      <c r="J70" s="66">
        <f t="shared" si="113"/>
        <v>52.49</v>
      </c>
      <c r="K70" s="66">
        <v>2</v>
      </c>
      <c r="L70" s="68">
        <f t="shared" si="114"/>
        <v>40.550400000000003</v>
      </c>
      <c r="M70" s="66">
        <f t="shared" si="115"/>
        <v>93.040400000000005</v>
      </c>
      <c r="N70" s="66"/>
      <c r="O70" s="66"/>
      <c r="P70" s="66"/>
      <c r="Q70" s="67">
        <f t="shared" ref="Q70:Q72" si="116">M70+O70+P70*1000</f>
        <v>93.040400000000005</v>
      </c>
      <c r="R70" s="84">
        <f>R69+Q70</f>
        <v>9152.9053999999996</v>
      </c>
      <c r="T70" s="6"/>
      <c r="U70" s="1"/>
      <c r="V70" s="1"/>
      <c r="W70" s="1"/>
      <c r="X70" s="1"/>
    </row>
    <row r="71" spans="1:26" s="24" customFormat="1">
      <c r="A71" s="85">
        <v>3</v>
      </c>
      <c r="B71" s="62" t="s">
        <v>103</v>
      </c>
      <c r="C71" s="66">
        <f>3*0.35</f>
        <v>1.0499999999999998</v>
      </c>
      <c r="D71" s="69">
        <f t="shared" si="111"/>
        <v>0.15790426148939396</v>
      </c>
      <c r="E71" s="68">
        <f t="shared" si="112"/>
        <v>568.45534136181823</v>
      </c>
      <c r="F71" s="66">
        <v>0.5</v>
      </c>
      <c r="G71" s="66" t="s">
        <v>155</v>
      </c>
      <c r="H71" s="66">
        <v>0.62</v>
      </c>
      <c r="I71" s="66">
        <v>36.89</v>
      </c>
      <c r="J71" s="66">
        <f t="shared" si="113"/>
        <v>18.445</v>
      </c>
      <c r="K71" s="66">
        <v>2</v>
      </c>
      <c r="L71" s="68">
        <f t="shared" si="114"/>
        <v>38.055600000000005</v>
      </c>
      <c r="M71" s="66">
        <f t="shared" si="115"/>
        <v>56.500600000000006</v>
      </c>
      <c r="N71" s="66"/>
      <c r="O71" s="66"/>
      <c r="P71" s="66"/>
      <c r="Q71" s="67">
        <f t="shared" si="116"/>
        <v>56.500600000000006</v>
      </c>
      <c r="R71" s="84">
        <f>R70+Q71</f>
        <v>9209.405999999999</v>
      </c>
      <c r="T71" s="6"/>
      <c r="U71" s="1"/>
      <c r="V71" s="1"/>
      <c r="W71" s="1"/>
      <c r="X71" s="1"/>
    </row>
    <row r="72" spans="1:26" ht="15.75" thickBot="1">
      <c r="A72" s="86">
        <v>4</v>
      </c>
      <c r="B72" s="87" t="s">
        <v>105</v>
      </c>
      <c r="C72" s="88">
        <f>4*0.35</f>
        <v>1.4</v>
      </c>
      <c r="D72" s="89">
        <f t="shared" si="111"/>
        <v>0.18308239349298847</v>
      </c>
      <c r="E72" s="90">
        <f t="shared" si="112"/>
        <v>659.09661657475851</v>
      </c>
      <c r="F72" s="88">
        <v>3</v>
      </c>
      <c r="G72" s="88" t="s">
        <v>155</v>
      </c>
      <c r="H72" s="88">
        <v>0.72</v>
      </c>
      <c r="I72" s="88">
        <v>47.47</v>
      </c>
      <c r="J72" s="88">
        <f t="shared" si="113"/>
        <v>142.41</v>
      </c>
      <c r="K72" s="88">
        <v>4</v>
      </c>
      <c r="L72" s="90">
        <f t="shared" si="114"/>
        <v>102.64319999999999</v>
      </c>
      <c r="M72" s="88">
        <f t="shared" si="115"/>
        <v>245.0532</v>
      </c>
      <c r="N72" s="88"/>
      <c r="O72" s="88"/>
      <c r="P72" s="88"/>
      <c r="Q72" s="91">
        <f t="shared" si="116"/>
        <v>245.0532</v>
      </c>
      <c r="R72" s="122">
        <f>R70+Q72</f>
        <v>9397.9585999999999</v>
      </c>
    </row>
    <row r="73" spans="1:26" ht="15.75" thickBot="1">
      <c r="A73" s="115"/>
      <c r="B73" s="116" t="s">
        <v>114</v>
      </c>
      <c r="C73" s="117"/>
      <c r="D73" s="117"/>
      <c r="E73" s="117"/>
      <c r="F73" s="117"/>
      <c r="G73" s="117"/>
      <c r="H73" s="117"/>
      <c r="I73" s="117"/>
      <c r="J73" s="117"/>
      <c r="K73" s="118"/>
      <c r="L73" s="117"/>
      <c r="M73" s="117"/>
      <c r="N73" s="117"/>
      <c r="O73" s="117"/>
      <c r="P73" s="117"/>
      <c r="Q73" s="119"/>
      <c r="R73" s="120"/>
    </row>
    <row r="74" spans="1:26">
      <c r="A74" s="79" t="s">
        <v>0</v>
      </c>
      <c r="B74" s="121" t="s">
        <v>1</v>
      </c>
      <c r="C74" s="80" t="s">
        <v>2</v>
      </c>
      <c r="D74" s="80" t="s">
        <v>3</v>
      </c>
      <c r="E74" s="80" t="s">
        <v>3</v>
      </c>
      <c r="F74" s="80" t="s">
        <v>4</v>
      </c>
      <c r="G74" s="80" t="s">
        <v>5</v>
      </c>
      <c r="H74" s="80" t="s">
        <v>6</v>
      </c>
      <c r="I74" s="80" t="s">
        <v>7</v>
      </c>
      <c r="J74" s="80" t="s">
        <v>8</v>
      </c>
      <c r="K74" s="80" t="s">
        <v>9</v>
      </c>
      <c r="L74" s="80" t="s">
        <v>10</v>
      </c>
      <c r="M74" s="80" t="s">
        <v>11</v>
      </c>
      <c r="N74" s="80" t="s">
        <v>12</v>
      </c>
      <c r="O74" s="80" t="s">
        <v>13</v>
      </c>
      <c r="P74" s="80" t="s">
        <v>14</v>
      </c>
      <c r="Q74" s="81" t="s">
        <v>15</v>
      </c>
      <c r="R74" s="82" t="s">
        <v>16</v>
      </c>
    </row>
    <row r="75" spans="1:26">
      <c r="A75" s="83" t="s">
        <v>17</v>
      </c>
      <c r="B75" s="62" t="s">
        <v>18</v>
      </c>
      <c r="C75" s="66" t="s">
        <v>19</v>
      </c>
      <c r="D75" s="66" t="s">
        <v>20</v>
      </c>
      <c r="E75" s="66" t="s">
        <v>21</v>
      </c>
      <c r="F75" s="66" t="s">
        <v>22</v>
      </c>
      <c r="G75" s="66" t="s">
        <v>23</v>
      </c>
      <c r="H75" s="66" t="s">
        <v>24</v>
      </c>
      <c r="I75" s="66" t="s">
        <v>25</v>
      </c>
      <c r="J75" s="66" t="s">
        <v>26</v>
      </c>
      <c r="K75" s="66"/>
      <c r="L75" s="66" t="s">
        <v>26</v>
      </c>
      <c r="M75" s="66" t="s">
        <v>26</v>
      </c>
      <c r="N75" s="66" t="s">
        <v>26</v>
      </c>
      <c r="O75" s="66" t="s">
        <v>27</v>
      </c>
      <c r="P75" s="66" t="s">
        <v>28</v>
      </c>
      <c r="Q75" s="67" t="s">
        <v>29</v>
      </c>
      <c r="R75" s="84" t="s">
        <v>26</v>
      </c>
    </row>
    <row r="76" spans="1:26">
      <c r="A76" s="85">
        <v>1</v>
      </c>
      <c r="B76" s="62" t="s">
        <v>32</v>
      </c>
      <c r="C76" s="66">
        <v>0.35</v>
      </c>
      <c r="D76" s="69">
        <f t="shared" ref="D76:D84" si="117">IF(C76&gt;=1,0.15*C76^0.5+0.004*C76,0.15*C76)</f>
        <v>5.2499999999999998E-2</v>
      </c>
      <c r="E76" s="68">
        <f t="shared" ref="E76:E84" si="118">D76*3600</f>
        <v>189</v>
      </c>
      <c r="F76" s="66">
        <v>1.5</v>
      </c>
      <c r="G76" s="66" t="s">
        <v>156</v>
      </c>
      <c r="H76" s="66">
        <v>0.5</v>
      </c>
      <c r="I76" s="66">
        <v>45.48</v>
      </c>
      <c r="J76" s="66">
        <f t="shared" ref="J76:J84" si="119">I76*F76</f>
        <v>68.22</v>
      </c>
      <c r="K76" s="66">
        <v>3</v>
      </c>
      <c r="L76" s="68">
        <f t="shared" ref="L76:L84" si="120">H76^2*49.5*K76</f>
        <v>37.125</v>
      </c>
      <c r="M76" s="66">
        <f t="shared" ref="M76:M84" si="121">J76+L76</f>
        <v>105.345</v>
      </c>
      <c r="N76" s="66">
        <v>300</v>
      </c>
      <c r="O76" s="66">
        <v>3000</v>
      </c>
      <c r="P76" s="66">
        <v>5.7</v>
      </c>
      <c r="Q76" s="67">
        <f>M76+N76+O76+P76*1000</f>
        <v>9105.3450000000012</v>
      </c>
      <c r="R76" s="84">
        <f>Q76</f>
        <v>9105.3450000000012</v>
      </c>
    </row>
    <row r="77" spans="1:26">
      <c r="A77" s="85">
        <v>2</v>
      </c>
      <c r="B77" s="62" t="s">
        <v>107</v>
      </c>
      <c r="C77" s="66">
        <f>1*0.35+1*0.17</f>
        <v>0.52</v>
      </c>
      <c r="D77" s="69">
        <f t="shared" si="117"/>
        <v>7.8E-2</v>
      </c>
      <c r="E77" s="68">
        <f t="shared" si="118"/>
        <v>280.8</v>
      </c>
      <c r="F77" s="66">
        <v>1</v>
      </c>
      <c r="G77" s="66" t="s">
        <v>154</v>
      </c>
      <c r="H77" s="66">
        <v>0.48</v>
      </c>
      <c r="I77" s="66">
        <v>31.68</v>
      </c>
      <c r="J77" s="66">
        <f t="shared" si="119"/>
        <v>31.68</v>
      </c>
      <c r="K77" s="66">
        <v>2</v>
      </c>
      <c r="L77" s="68">
        <f t="shared" si="120"/>
        <v>22.8096</v>
      </c>
      <c r="M77" s="66">
        <f t="shared" si="121"/>
        <v>54.489599999999996</v>
      </c>
      <c r="N77" s="66"/>
      <c r="O77" s="66"/>
      <c r="P77" s="66"/>
      <c r="Q77" s="67">
        <f t="shared" ref="Q77:Q84" si="122">M77+O77+P77*1000</f>
        <v>54.489599999999996</v>
      </c>
      <c r="R77" s="84">
        <f>R76+Q77</f>
        <v>9159.834600000002</v>
      </c>
      <c r="Z77" s="6"/>
    </row>
    <row r="78" spans="1:26">
      <c r="A78" s="85">
        <v>3</v>
      </c>
      <c r="B78" s="62" t="s">
        <v>108</v>
      </c>
      <c r="C78" s="66">
        <f>1*0.35+1*0.17+1*0.5</f>
        <v>1.02</v>
      </c>
      <c r="D78" s="69">
        <f t="shared" si="117"/>
        <v>0.15557257407543118</v>
      </c>
      <c r="E78" s="68">
        <f t="shared" si="118"/>
        <v>560.06126667155229</v>
      </c>
      <c r="F78" s="66">
        <v>0.5</v>
      </c>
      <c r="G78" s="66" t="s">
        <v>155</v>
      </c>
      <c r="H78" s="66">
        <v>0.61</v>
      </c>
      <c r="I78" s="66">
        <v>36.1</v>
      </c>
      <c r="J78" s="66">
        <f t="shared" si="119"/>
        <v>18.05</v>
      </c>
      <c r="K78" s="66">
        <v>2</v>
      </c>
      <c r="L78" s="68">
        <f t="shared" si="120"/>
        <v>36.837899999999998</v>
      </c>
      <c r="M78" s="66">
        <f t="shared" si="121"/>
        <v>54.887900000000002</v>
      </c>
      <c r="N78" s="66"/>
      <c r="O78" s="66"/>
      <c r="P78" s="66"/>
      <c r="Q78" s="67">
        <f t="shared" si="122"/>
        <v>54.887900000000002</v>
      </c>
      <c r="R78" s="84">
        <f>R77+Q78</f>
        <v>9214.7225000000017</v>
      </c>
    </row>
    <row r="79" spans="1:26">
      <c r="A79" s="85">
        <v>4</v>
      </c>
      <c r="B79" s="62" t="s">
        <v>109</v>
      </c>
      <c r="C79" s="66">
        <f>1*0.35+1*0.17+2*0.5</f>
        <v>1.52</v>
      </c>
      <c r="D79" s="69">
        <f t="shared" si="117"/>
        <v>0.1910124200890693</v>
      </c>
      <c r="E79" s="68">
        <f t="shared" si="118"/>
        <v>687.64471232064943</v>
      </c>
      <c r="F79" s="66">
        <v>1</v>
      </c>
      <c r="G79" s="66" t="s">
        <v>155</v>
      </c>
      <c r="H79" s="66">
        <v>0.75</v>
      </c>
      <c r="I79" s="66">
        <v>51.09</v>
      </c>
      <c r="J79" s="66">
        <f t="shared" si="119"/>
        <v>51.09</v>
      </c>
      <c r="K79" s="66">
        <v>2</v>
      </c>
      <c r="L79" s="68">
        <f t="shared" si="120"/>
        <v>55.6875</v>
      </c>
      <c r="M79" s="66">
        <f t="shared" si="121"/>
        <v>106.7775</v>
      </c>
      <c r="N79" s="66"/>
      <c r="O79" s="66"/>
      <c r="P79" s="66"/>
      <c r="Q79" s="67">
        <f t="shared" si="122"/>
        <v>106.7775</v>
      </c>
      <c r="R79" s="84">
        <f>R78+Q79</f>
        <v>9321.5000000000018</v>
      </c>
    </row>
    <row r="80" spans="1:26">
      <c r="A80" s="85">
        <v>5</v>
      </c>
      <c r="B80" s="62" t="s">
        <v>110</v>
      </c>
      <c r="C80" s="66">
        <f>1*0.35+1*0.17+3*0.5</f>
        <v>2.02</v>
      </c>
      <c r="D80" s="69">
        <f t="shared" si="117"/>
        <v>0.22127005605327843</v>
      </c>
      <c r="E80" s="68">
        <f t="shared" si="118"/>
        <v>796.5722017918024</v>
      </c>
      <c r="F80" s="66">
        <v>0.5</v>
      </c>
      <c r="G80" s="66" t="s">
        <v>155</v>
      </c>
      <c r="H80" s="66">
        <v>0.87</v>
      </c>
      <c r="I80" s="66">
        <v>65.69</v>
      </c>
      <c r="J80" s="66">
        <f t="shared" si="119"/>
        <v>32.844999999999999</v>
      </c>
      <c r="K80" s="66">
        <v>2</v>
      </c>
      <c r="L80" s="68">
        <f t="shared" si="120"/>
        <v>74.933099999999996</v>
      </c>
      <c r="M80" s="66">
        <f t="shared" si="121"/>
        <v>107.77809999999999</v>
      </c>
      <c r="N80" s="66"/>
      <c r="O80" s="66"/>
      <c r="P80" s="66"/>
      <c r="Q80" s="67">
        <f t="shared" si="122"/>
        <v>107.77809999999999</v>
      </c>
      <c r="R80" s="84">
        <f>R79+Q80</f>
        <v>9429.2781000000014</v>
      </c>
    </row>
    <row r="81" spans="1:18">
      <c r="A81" s="85">
        <v>6</v>
      </c>
      <c r="B81" s="62" t="s">
        <v>163</v>
      </c>
      <c r="C81" s="66">
        <v>3.02</v>
      </c>
      <c r="D81" s="69">
        <f t="shared" si="117"/>
        <v>0.27275220795474148</v>
      </c>
      <c r="E81" s="68">
        <f t="shared" si="118"/>
        <v>981.90794863706935</v>
      </c>
      <c r="F81" s="66">
        <v>0.5</v>
      </c>
      <c r="G81" s="66" t="s">
        <v>152</v>
      </c>
      <c r="H81" s="66">
        <v>0.65</v>
      </c>
      <c r="I81" s="66">
        <v>23.56</v>
      </c>
      <c r="J81" s="66">
        <f t="shared" si="119"/>
        <v>11.78</v>
      </c>
      <c r="K81" s="66">
        <v>2</v>
      </c>
      <c r="L81" s="68">
        <f t="shared" si="120"/>
        <v>41.827500000000008</v>
      </c>
      <c r="M81" s="66">
        <f t="shared" si="121"/>
        <v>53.607500000000009</v>
      </c>
      <c r="N81" s="66"/>
      <c r="O81" s="66"/>
      <c r="P81" s="66"/>
      <c r="Q81" s="67">
        <f t="shared" si="122"/>
        <v>53.607500000000009</v>
      </c>
      <c r="R81" s="84">
        <f>R80+Q81</f>
        <v>9482.8856000000014</v>
      </c>
    </row>
    <row r="82" spans="1:18">
      <c r="A82" s="85">
        <v>7</v>
      </c>
      <c r="B82" s="62" t="s">
        <v>164</v>
      </c>
      <c r="C82" s="66">
        <v>4.0199999999999996</v>
      </c>
      <c r="D82" s="69">
        <f t="shared" si="117"/>
        <v>0.31682906483645129</v>
      </c>
      <c r="E82" s="68">
        <f t="shared" si="118"/>
        <v>1140.5846334112246</v>
      </c>
      <c r="F82" s="66">
        <v>1</v>
      </c>
      <c r="G82" s="66" t="s">
        <v>152</v>
      </c>
      <c r="H82" s="66">
        <v>0.75</v>
      </c>
      <c r="I82" s="66">
        <v>30.95</v>
      </c>
      <c r="J82" s="66">
        <f t="shared" si="119"/>
        <v>30.95</v>
      </c>
      <c r="K82" s="66">
        <v>2</v>
      </c>
      <c r="L82" s="68">
        <f t="shared" si="120"/>
        <v>55.6875</v>
      </c>
      <c r="M82" s="66">
        <f t="shared" si="121"/>
        <v>86.637500000000003</v>
      </c>
      <c r="N82" s="66"/>
      <c r="O82" s="66"/>
      <c r="P82" s="66"/>
      <c r="Q82" s="67">
        <f t="shared" si="122"/>
        <v>86.637500000000003</v>
      </c>
      <c r="R82" s="84">
        <f>R77+Q82</f>
        <v>9246.4721000000027</v>
      </c>
    </row>
    <row r="83" spans="1:18">
      <c r="A83" s="85">
        <v>8</v>
      </c>
      <c r="B83" s="62" t="s">
        <v>165</v>
      </c>
      <c r="C83" s="66">
        <v>4.5199999999999996</v>
      </c>
      <c r="D83" s="69">
        <f t="shared" si="117"/>
        <v>0.33698437438203943</v>
      </c>
      <c r="E83" s="68">
        <f t="shared" si="118"/>
        <v>1213.143747775342</v>
      </c>
      <c r="F83" s="66">
        <v>0.5</v>
      </c>
      <c r="G83" s="66" t="s">
        <v>152</v>
      </c>
      <c r="H83" s="66">
        <v>0.8</v>
      </c>
      <c r="I83" s="66">
        <v>34.619999999999997</v>
      </c>
      <c r="J83" s="66">
        <f t="shared" si="119"/>
        <v>17.309999999999999</v>
      </c>
      <c r="K83" s="66">
        <v>2</v>
      </c>
      <c r="L83" s="68">
        <f t="shared" si="120"/>
        <v>63.360000000000014</v>
      </c>
      <c r="M83" s="66">
        <f t="shared" si="121"/>
        <v>80.670000000000016</v>
      </c>
      <c r="N83" s="66"/>
      <c r="O83" s="66"/>
      <c r="P83" s="66"/>
      <c r="Q83" s="67">
        <f t="shared" si="122"/>
        <v>80.670000000000016</v>
      </c>
      <c r="R83" s="84">
        <f>R78+Q83</f>
        <v>9295.3925000000017</v>
      </c>
    </row>
    <row r="84" spans="1:18" ht="15.75" thickBot="1">
      <c r="A84" s="85">
        <v>9</v>
      </c>
      <c r="B84" s="87" t="s">
        <v>111</v>
      </c>
      <c r="C84" s="88">
        <f>1*0.35+1*0.17+5*0.5+2*1</f>
        <v>5.0199999999999996</v>
      </c>
      <c r="D84" s="89">
        <f t="shared" si="117"/>
        <v>0.35616034753612114</v>
      </c>
      <c r="E84" s="90">
        <f t="shared" si="118"/>
        <v>1282.177251130036</v>
      </c>
      <c r="F84" s="88">
        <v>0.5</v>
      </c>
      <c r="G84" s="88" t="s">
        <v>152</v>
      </c>
      <c r="H84" s="88">
        <v>0.84</v>
      </c>
      <c r="I84" s="88">
        <v>38.28</v>
      </c>
      <c r="J84" s="88">
        <f t="shared" si="119"/>
        <v>19.14</v>
      </c>
      <c r="K84" s="88">
        <v>4</v>
      </c>
      <c r="L84" s="90">
        <f t="shared" si="120"/>
        <v>139.70879999999997</v>
      </c>
      <c r="M84" s="88">
        <f t="shared" si="121"/>
        <v>158.84879999999998</v>
      </c>
      <c r="N84" s="88"/>
      <c r="O84" s="88"/>
      <c r="P84" s="88"/>
      <c r="Q84" s="91">
        <f t="shared" si="122"/>
        <v>158.84879999999998</v>
      </c>
      <c r="R84" s="122">
        <f>R77+Q84</f>
        <v>9318.6834000000017</v>
      </c>
    </row>
    <row r="85" spans="1:18" ht="15.75" thickBot="1">
      <c r="A85" s="115"/>
      <c r="B85" s="116" t="s">
        <v>115</v>
      </c>
      <c r="C85" s="117"/>
      <c r="D85" s="117"/>
      <c r="E85" s="117"/>
      <c r="F85" s="117"/>
      <c r="G85" s="117"/>
      <c r="H85" s="117"/>
      <c r="I85" s="117"/>
      <c r="J85" s="117"/>
      <c r="K85" s="118"/>
      <c r="L85" s="117"/>
      <c r="M85" s="117"/>
      <c r="N85" s="117"/>
      <c r="O85" s="117"/>
      <c r="P85" s="117"/>
      <c r="Q85" s="119"/>
      <c r="R85" s="120"/>
    </row>
    <row r="86" spans="1:18">
      <c r="A86" s="79" t="s">
        <v>0</v>
      </c>
      <c r="B86" s="121" t="s">
        <v>1</v>
      </c>
      <c r="C86" s="80" t="s">
        <v>2</v>
      </c>
      <c r="D86" s="80" t="s">
        <v>3</v>
      </c>
      <c r="E86" s="80" t="s">
        <v>3</v>
      </c>
      <c r="F86" s="80" t="s">
        <v>4</v>
      </c>
      <c r="G86" s="80" t="s">
        <v>5</v>
      </c>
      <c r="H86" s="80" t="s">
        <v>6</v>
      </c>
      <c r="I86" s="80" t="s">
        <v>7</v>
      </c>
      <c r="J86" s="80" t="s">
        <v>8</v>
      </c>
      <c r="K86" s="80" t="s">
        <v>9</v>
      </c>
      <c r="L86" s="80" t="s">
        <v>10</v>
      </c>
      <c r="M86" s="80" t="s">
        <v>11</v>
      </c>
      <c r="N86" s="80" t="s">
        <v>12</v>
      </c>
      <c r="O86" s="80" t="s">
        <v>13</v>
      </c>
      <c r="P86" s="80" t="s">
        <v>14</v>
      </c>
      <c r="Q86" s="81" t="s">
        <v>15</v>
      </c>
      <c r="R86" s="82" t="s">
        <v>16</v>
      </c>
    </row>
    <row r="87" spans="1:18">
      <c r="A87" s="83" t="s">
        <v>17</v>
      </c>
      <c r="B87" s="62" t="s">
        <v>18</v>
      </c>
      <c r="C87" s="66" t="s">
        <v>19</v>
      </c>
      <c r="D87" s="66" t="s">
        <v>20</v>
      </c>
      <c r="E87" s="66" t="s">
        <v>21</v>
      </c>
      <c r="F87" s="66" t="s">
        <v>22</v>
      </c>
      <c r="G87" s="66" t="s">
        <v>23</v>
      </c>
      <c r="H87" s="66" t="s">
        <v>24</v>
      </c>
      <c r="I87" s="66" t="s">
        <v>25</v>
      </c>
      <c r="J87" s="66" t="s">
        <v>26</v>
      </c>
      <c r="K87" s="66"/>
      <c r="L87" s="66" t="s">
        <v>26</v>
      </c>
      <c r="M87" s="66" t="s">
        <v>26</v>
      </c>
      <c r="N87" s="66" t="s">
        <v>26</v>
      </c>
      <c r="O87" s="66" t="s">
        <v>27</v>
      </c>
      <c r="P87" s="66" t="s">
        <v>28</v>
      </c>
      <c r="Q87" s="67" t="s">
        <v>29</v>
      </c>
      <c r="R87" s="84" t="s">
        <v>26</v>
      </c>
    </row>
    <row r="88" spans="1:18">
      <c r="A88" s="85">
        <v>1</v>
      </c>
      <c r="B88" s="62" t="s">
        <v>32</v>
      </c>
      <c r="C88" s="66">
        <v>0.35</v>
      </c>
      <c r="D88" s="69">
        <f t="shared" ref="D88:D89" si="123">IF(C88&gt;=1,0.15*C88^0.5+0.004*C88,0.15*C88)</f>
        <v>5.2499999999999998E-2</v>
      </c>
      <c r="E88" s="68">
        <f t="shared" ref="E88:E89" si="124">D88*3600</f>
        <v>189</v>
      </c>
      <c r="F88" s="66">
        <v>2</v>
      </c>
      <c r="G88" s="66" t="s">
        <v>156</v>
      </c>
      <c r="H88" s="66">
        <v>0.5</v>
      </c>
      <c r="I88" s="66">
        <v>45.48</v>
      </c>
      <c r="J88" s="66">
        <f t="shared" ref="J88:J89" si="125">I88*F88</f>
        <v>90.96</v>
      </c>
      <c r="K88" s="66">
        <v>3</v>
      </c>
      <c r="L88" s="68">
        <f t="shared" ref="L88:L89" si="126">H88^2*49.5*K88</f>
        <v>37.125</v>
      </c>
      <c r="M88" s="66">
        <f t="shared" ref="M88:M89" si="127">J88+L88</f>
        <v>128.08499999999998</v>
      </c>
      <c r="N88" s="66">
        <v>300</v>
      </c>
      <c r="O88" s="66">
        <v>3000</v>
      </c>
      <c r="P88" s="66">
        <v>1.7</v>
      </c>
      <c r="Q88" s="67">
        <f>M88+N88+O88+P88*1000</f>
        <v>5128.085</v>
      </c>
      <c r="R88" s="84">
        <f>Q88</f>
        <v>5128.085</v>
      </c>
    </row>
    <row r="89" spans="1:18" ht="15.75" thickBot="1">
      <c r="A89" s="86">
        <v>2</v>
      </c>
      <c r="B89" s="87" t="s">
        <v>102</v>
      </c>
      <c r="C89" s="88">
        <f>2*0.35</f>
        <v>0.7</v>
      </c>
      <c r="D89" s="89">
        <f t="shared" si="123"/>
        <v>0.105</v>
      </c>
      <c r="E89" s="90">
        <f t="shared" si="124"/>
        <v>378</v>
      </c>
      <c r="F89" s="88">
        <v>4</v>
      </c>
      <c r="G89" s="88" t="s">
        <v>154</v>
      </c>
      <c r="H89" s="88">
        <v>0.64</v>
      </c>
      <c r="I89" s="88">
        <v>52.49</v>
      </c>
      <c r="J89" s="88">
        <f t="shared" si="125"/>
        <v>209.96</v>
      </c>
      <c r="K89" s="88">
        <v>4</v>
      </c>
      <c r="L89" s="90">
        <f t="shared" si="126"/>
        <v>81.100800000000007</v>
      </c>
      <c r="M89" s="88">
        <f t="shared" si="127"/>
        <v>291.06080000000003</v>
      </c>
      <c r="N89" s="88"/>
      <c r="O89" s="88"/>
      <c r="P89" s="88"/>
      <c r="Q89" s="91">
        <f t="shared" ref="Q89" si="128">M89+O89+P89*1000</f>
        <v>291.06080000000003</v>
      </c>
      <c r="R89" s="92">
        <f>R88+Q89</f>
        <v>5419.1458000000002</v>
      </c>
    </row>
    <row r="90" spans="1:18" ht="15.75" thickBot="1">
      <c r="A90" s="115"/>
      <c r="B90" s="116" t="s">
        <v>116</v>
      </c>
      <c r="C90" s="117"/>
      <c r="D90" s="117"/>
      <c r="E90" s="117"/>
      <c r="F90" s="117"/>
      <c r="G90" s="117"/>
      <c r="H90" s="117"/>
      <c r="I90" s="117"/>
      <c r="J90" s="117"/>
      <c r="K90" s="118"/>
      <c r="L90" s="117"/>
      <c r="M90" s="117"/>
      <c r="N90" s="117"/>
      <c r="O90" s="117"/>
      <c r="P90" s="117"/>
      <c r="Q90" s="119"/>
      <c r="R90" s="120"/>
    </row>
    <row r="91" spans="1:18">
      <c r="A91" s="79" t="s">
        <v>0</v>
      </c>
      <c r="B91" s="121" t="s">
        <v>1</v>
      </c>
      <c r="C91" s="80" t="s">
        <v>2</v>
      </c>
      <c r="D91" s="80" t="s">
        <v>3</v>
      </c>
      <c r="E91" s="80" t="s">
        <v>3</v>
      </c>
      <c r="F91" s="80" t="s">
        <v>4</v>
      </c>
      <c r="G91" s="80" t="s">
        <v>5</v>
      </c>
      <c r="H91" s="80" t="s">
        <v>6</v>
      </c>
      <c r="I91" s="80" t="s">
        <v>7</v>
      </c>
      <c r="J91" s="80" t="s">
        <v>8</v>
      </c>
      <c r="K91" s="80" t="s">
        <v>9</v>
      </c>
      <c r="L91" s="80" t="s">
        <v>10</v>
      </c>
      <c r="M91" s="80" t="s">
        <v>11</v>
      </c>
      <c r="N91" s="80" t="s">
        <v>12</v>
      </c>
      <c r="O91" s="80" t="s">
        <v>13</v>
      </c>
      <c r="P91" s="80" t="s">
        <v>14</v>
      </c>
      <c r="Q91" s="81" t="s">
        <v>15</v>
      </c>
      <c r="R91" s="82" t="s">
        <v>16</v>
      </c>
    </row>
    <row r="92" spans="1:18">
      <c r="A92" s="83" t="s">
        <v>17</v>
      </c>
      <c r="B92" s="62" t="s">
        <v>18</v>
      </c>
      <c r="C92" s="66" t="s">
        <v>19</v>
      </c>
      <c r="D92" s="66" t="s">
        <v>20</v>
      </c>
      <c r="E92" s="66" t="s">
        <v>21</v>
      </c>
      <c r="F92" s="66" t="s">
        <v>22</v>
      </c>
      <c r="G92" s="66" t="s">
        <v>23</v>
      </c>
      <c r="H92" s="66" t="s">
        <v>24</v>
      </c>
      <c r="I92" s="66" t="s">
        <v>25</v>
      </c>
      <c r="J92" s="66" t="s">
        <v>26</v>
      </c>
      <c r="K92" s="66"/>
      <c r="L92" s="66" t="s">
        <v>26</v>
      </c>
      <c r="M92" s="66" t="s">
        <v>26</v>
      </c>
      <c r="N92" s="66" t="s">
        <v>26</v>
      </c>
      <c r="O92" s="66" t="s">
        <v>27</v>
      </c>
      <c r="P92" s="66" t="s">
        <v>28</v>
      </c>
      <c r="Q92" s="67" t="s">
        <v>29</v>
      </c>
      <c r="R92" s="84" t="s">
        <v>26</v>
      </c>
    </row>
    <row r="93" spans="1:18">
      <c r="A93" s="85">
        <v>1</v>
      </c>
      <c r="B93" s="62" t="s">
        <v>32</v>
      </c>
      <c r="C93" s="66">
        <v>0.35</v>
      </c>
      <c r="D93" s="69">
        <f t="shared" ref="D93:D95" si="129">IF(C93&gt;=1,0.15*C93^0.5+0.004*C93,0.15*C93)</f>
        <v>5.2499999999999998E-2</v>
      </c>
      <c r="E93" s="68">
        <f t="shared" ref="E93:E95" si="130">D93*3600</f>
        <v>189</v>
      </c>
      <c r="F93" s="66">
        <v>1</v>
      </c>
      <c r="G93" s="66" t="s">
        <v>156</v>
      </c>
      <c r="H93" s="66">
        <v>0.5</v>
      </c>
      <c r="I93" s="66">
        <v>45.48</v>
      </c>
      <c r="J93" s="66">
        <f t="shared" ref="J93:J95" si="131">I93*F93</f>
        <v>45.48</v>
      </c>
      <c r="K93" s="66">
        <v>3</v>
      </c>
      <c r="L93" s="68">
        <f t="shared" ref="L93:L95" si="132">H93^2*49.5*K93</f>
        <v>37.125</v>
      </c>
      <c r="M93" s="66">
        <f t="shared" ref="M93:M95" si="133">J93+L93</f>
        <v>82.60499999999999</v>
      </c>
      <c r="N93" s="66">
        <v>300</v>
      </c>
      <c r="O93" s="66">
        <v>3000</v>
      </c>
      <c r="P93" s="66">
        <v>1.7</v>
      </c>
      <c r="Q93" s="67">
        <f>M93+N93+O93+P93*1000</f>
        <v>5082.6049999999996</v>
      </c>
      <c r="R93" s="84">
        <f>Q93</f>
        <v>5082.6049999999996</v>
      </c>
    </row>
    <row r="94" spans="1:18">
      <c r="A94" s="85">
        <v>2</v>
      </c>
      <c r="B94" s="62" t="s">
        <v>102</v>
      </c>
      <c r="C94" s="66">
        <f>2*0.35</f>
        <v>0.7</v>
      </c>
      <c r="D94" s="69">
        <f t="shared" si="129"/>
        <v>0.105</v>
      </c>
      <c r="E94" s="68">
        <f t="shared" si="130"/>
        <v>378</v>
      </c>
      <c r="F94" s="66">
        <v>2</v>
      </c>
      <c r="G94" s="66" t="s">
        <v>154</v>
      </c>
      <c r="H94" s="66">
        <v>0.64</v>
      </c>
      <c r="I94" s="66">
        <v>52.49</v>
      </c>
      <c r="J94" s="66">
        <f t="shared" si="131"/>
        <v>104.98</v>
      </c>
      <c r="K94" s="66">
        <v>2</v>
      </c>
      <c r="L94" s="68">
        <f t="shared" si="132"/>
        <v>40.550400000000003</v>
      </c>
      <c r="M94" s="66">
        <f t="shared" si="133"/>
        <v>145.53040000000001</v>
      </c>
      <c r="N94" s="66"/>
      <c r="O94" s="66"/>
      <c r="P94" s="66"/>
      <c r="Q94" s="67">
        <f t="shared" ref="Q94:Q95" si="134">M94+O94+P94*1000</f>
        <v>145.53040000000001</v>
      </c>
      <c r="R94" s="84">
        <f>R93+Q94</f>
        <v>5228.1353999999992</v>
      </c>
    </row>
    <row r="95" spans="1:18" ht="15.75" thickBot="1">
      <c r="A95" s="86">
        <v>3</v>
      </c>
      <c r="B95" s="87" t="s">
        <v>103</v>
      </c>
      <c r="C95" s="88">
        <f>3*0.35</f>
        <v>1.0499999999999998</v>
      </c>
      <c r="D95" s="89">
        <f t="shared" si="129"/>
        <v>0.15790426148939396</v>
      </c>
      <c r="E95" s="90">
        <f t="shared" si="130"/>
        <v>568.45534136181823</v>
      </c>
      <c r="F95" s="88">
        <v>4</v>
      </c>
      <c r="G95" s="88" t="s">
        <v>155</v>
      </c>
      <c r="H95" s="66">
        <v>0.62</v>
      </c>
      <c r="I95" s="66">
        <v>36.89</v>
      </c>
      <c r="J95" s="88">
        <f t="shared" si="131"/>
        <v>147.56</v>
      </c>
      <c r="K95" s="88">
        <v>4</v>
      </c>
      <c r="L95" s="90">
        <f t="shared" si="132"/>
        <v>76.111200000000011</v>
      </c>
      <c r="M95" s="88">
        <f t="shared" si="133"/>
        <v>223.6712</v>
      </c>
      <c r="N95" s="88"/>
      <c r="O95" s="88"/>
      <c r="P95" s="88"/>
      <c r="Q95" s="91">
        <f t="shared" si="134"/>
        <v>223.6712</v>
      </c>
      <c r="R95" s="122">
        <f>R94+Q95</f>
        <v>5451.806599999999</v>
      </c>
    </row>
    <row r="96" spans="1:18" ht="15.75" thickBot="1">
      <c r="A96" s="79"/>
      <c r="B96" s="112" t="s">
        <v>117</v>
      </c>
      <c r="C96" s="80"/>
      <c r="D96" s="80"/>
      <c r="E96" s="80"/>
      <c r="F96" s="80"/>
      <c r="G96" s="80"/>
      <c r="H96" s="80"/>
      <c r="I96" s="80"/>
      <c r="J96" s="80"/>
      <c r="K96" s="113"/>
      <c r="L96" s="80"/>
      <c r="M96" s="80"/>
      <c r="N96" s="80"/>
      <c r="O96" s="80"/>
      <c r="P96" s="80"/>
      <c r="Q96" s="81"/>
      <c r="R96" s="82"/>
    </row>
    <row r="97" spans="1:18">
      <c r="A97" s="79" t="s">
        <v>0</v>
      </c>
      <c r="B97" s="121" t="s">
        <v>1</v>
      </c>
      <c r="C97" s="80" t="s">
        <v>2</v>
      </c>
      <c r="D97" s="80" t="s">
        <v>3</v>
      </c>
      <c r="E97" s="80" t="s">
        <v>3</v>
      </c>
      <c r="F97" s="80" t="s">
        <v>4</v>
      </c>
      <c r="G97" s="80" t="s">
        <v>5</v>
      </c>
      <c r="H97" s="80" t="s">
        <v>6</v>
      </c>
      <c r="I97" s="80" t="s">
        <v>7</v>
      </c>
      <c r="J97" s="80" t="s">
        <v>8</v>
      </c>
      <c r="K97" s="80" t="s">
        <v>9</v>
      </c>
      <c r="L97" s="80" t="s">
        <v>10</v>
      </c>
      <c r="M97" s="80" t="s">
        <v>11</v>
      </c>
      <c r="N97" s="80" t="s">
        <v>12</v>
      </c>
      <c r="O97" s="80" t="s">
        <v>13</v>
      </c>
      <c r="P97" s="80" t="s">
        <v>14</v>
      </c>
      <c r="Q97" s="81" t="s">
        <v>15</v>
      </c>
      <c r="R97" s="82" t="s">
        <v>16</v>
      </c>
    </row>
    <row r="98" spans="1:18">
      <c r="A98" s="83" t="s">
        <v>17</v>
      </c>
      <c r="B98" s="62" t="s">
        <v>18</v>
      </c>
      <c r="C98" s="66" t="s">
        <v>19</v>
      </c>
      <c r="D98" s="66" t="s">
        <v>20</v>
      </c>
      <c r="E98" s="66" t="s">
        <v>21</v>
      </c>
      <c r="F98" s="66" t="s">
        <v>22</v>
      </c>
      <c r="G98" s="66" t="s">
        <v>23</v>
      </c>
      <c r="H98" s="66" t="s">
        <v>24</v>
      </c>
      <c r="I98" s="66" t="s">
        <v>25</v>
      </c>
      <c r="J98" s="66" t="s">
        <v>26</v>
      </c>
      <c r="K98" s="66"/>
      <c r="L98" s="66" t="s">
        <v>26</v>
      </c>
      <c r="M98" s="66" t="s">
        <v>26</v>
      </c>
      <c r="N98" s="66" t="s">
        <v>26</v>
      </c>
      <c r="O98" s="66" t="s">
        <v>27</v>
      </c>
      <c r="P98" s="66" t="s">
        <v>28</v>
      </c>
      <c r="Q98" s="67" t="s">
        <v>29</v>
      </c>
      <c r="R98" s="84" t="s">
        <v>26</v>
      </c>
    </row>
    <row r="99" spans="1:18">
      <c r="A99" s="85">
        <v>1</v>
      </c>
      <c r="B99" s="62" t="s">
        <v>32</v>
      </c>
      <c r="C99" s="66">
        <v>0.35</v>
      </c>
      <c r="D99" s="69">
        <f t="shared" ref="D99:D102" si="135">IF(C99&gt;=1,0.15*C99^0.5+0.004*C99,0.15*C99)</f>
        <v>5.2499999999999998E-2</v>
      </c>
      <c r="E99" s="68">
        <f t="shared" ref="E99:E102" si="136">D99*3600</f>
        <v>189</v>
      </c>
      <c r="F99" s="66">
        <v>4</v>
      </c>
      <c r="G99" s="66" t="s">
        <v>156</v>
      </c>
      <c r="H99" s="66">
        <v>0.5</v>
      </c>
      <c r="I99" s="66">
        <v>45.48</v>
      </c>
      <c r="J99" s="66">
        <f t="shared" ref="J99:J102" si="137">I99*F99</f>
        <v>181.92</v>
      </c>
      <c r="K99" s="66">
        <v>3</v>
      </c>
      <c r="L99" s="68">
        <f t="shared" ref="L99:L102" si="138">H99^2*49.5*K99</f>
        <v>37.125</v>
      </c>
      <c r="M99" s="66">
        <f t="shared" ref="M99:M102" si="139">J99+L99</f>
        <v>219.04499999999999</v>
      </c>
      <c r="N99" s="66">
        <v>300</v>
      </c>
      <c r="O99" s="66">
        <v>3000</v>
      </c>
      <c r="P99" s="66">
        <v>5.7</v>
      </c>
      <c r="Q99" s="67">
        <f>M99+N99+O99+P99*1000</f>
        <v>9219.0450000000001</v>
      </c>
      <c r="R99" s="84">
        <f>Q99</f>
        <v>9219.0450000000001</v>
      </c>
    </row>
    <row r="100" spans="1:18">
      <c r="A100" s="85">
        <v>2</v>
      </c>
      <c r="B100" s="62" t="s">
        <v>102</v>
      </c>
      <c r="C100" s="66">
        <f>2*0.35</f>
        <v>0.7</v>
      </c>
      <c r="D100" s="69">
        <f t="shared" si="135"/>
        <v>0.105</v>
      </c>
      <c r="E100" s="68">
        <f t="shared" si="136"/>
        <v>378</v>
      </c>
      <c r="F100" s="66">
        <v>0.5</v>
      </c>
      <c r="G100" s="66" t="s">
        <v>154</v>
      </c>
      <c r="H100" s="66">
        <v>0.64</v>
      </c>
      <c r="I100" s="66">
        <v>52.49</v>
      </c>
      <c r="J100" s="66">
        <f t="shared" si="137"/>
        <v>26.245000000000001</v>
      </c>
      <c r="K100" s="66">
        <v>2</v>
      </c>
      <c r="L100" s="68">
        <f t="shared" si="138"/>
        <v>40.550400000000003</v>
      </c>
      <c r="M100" s="66">
        <f t="shared" si="139"/>
        <v>66.795400000000001</v>
      </c>
      <c r="N100" s="66"/>
      <c r="O100" s="66"/>
      <c r="P100" s="66"/>
      <c r="Q100" s="67">
        <f t="shared" ref="Q100:Q102" si="140">M100+O100+P100*1000</f>
        <v>66.795400000000001</v>
      </c>
      <c r="R100" s="84">
        <f>R99+Q100</f>
        <v>9285.840400000001</v>
      </c>
    </row>
    <row r="101" spans="1:18">
      <c r="A101" s="85">
        <v>3</v>
      </c>
      <c r="B101" s="62" t="s">
        <v>103</v>
      </c>
      <c r="C101" s="66">
        <f>3*0.35</f>
        <v>1.0499999999999998</v>
      </c>
      <c r="D101" s="69">
        <f t="shared" ref="D101" si="141">IF(C101&gt;=1,0.15*C101^0.5+0.004*C101,0.15*C101)</f>
        <v>0.15790426148939396</v>
      </c>
      <c r="E101" s="68">
        <f t="shared" ref="E101" si="142">D101*3600</f>
        <v>568.45534136181823</v>
      </c>
      <c r="F101" s="66">
        <v>5</v>
      </c>
      <c r="G101" s="66" t="s">
        <v>155</v>
      </c>
      <c r="H101" s="66">
        <v>0.62</v>
      </c>
      <c r="I101" s="66">
        <v>36.89</v>
      </c>
      <c r="J101" s="66">
        <f t="shared" ref="J101" si="143">I101*F101</f>
        <v>184.45</v>
      </c>
      <c r="K101" s="66">
        <v>2</v>
      </c>
      <c r="L101" s="68">
        <f t="shared" ref="L101" si="144">H101^2*49.5*K101</f>
        <v>38.055600000000005</v>
      </c>
      <c r="M101" s="66">
        <f t="shared" ref="M101" si="145">J101+L101</f>
        <v>222.50559999999999</v>
      </c>
      <c r="N101" s="66"/>
      <c r="O101" s="66"/>
      <c r="P101" s="66"/>
      <c r="Q101" s="67">
        <f t="shared" ref="Q101" si="146">M101+O101+P101*1000</f>
        <v>222.50559999999999</v>
      </c>
      <c r="R101" s="84">
        <f>R99+Q101</f>
        <v>9441.5506000000005</v>
      </c>
    </row>
    <row r="102" spans="1:18">
      <c r="A102" s="66">
        <v>4</v>
      </c>
      <c r="B102" s="62" t="s">
        <v>161</v>
      </c>
      <c r="C102" s="66">
        <f>7*0.35</f>
        <v>2.4499999999999997</v>
      </c>
      <c r="D102" s="69">
        <f t="shared" si="135"/>
        <v>0.24458713763747791</v>
      </c>
      <c r="E102" s="68">
        <f t="shared" si="136"/>
        <v>880.51369549492051</v>
      </c>
      <c r="F102" s="66">
        <v>16</v>
      </c>
      <c r="G102" s="66" t="s">
        <v>155</v>
      </c>
      <c r="H102" s="66">
        <v>0.96</v>
      </c>
      <c r="I102" s="66">
        <v>78.5</v>
      </c>
      <c r="J102" s="66">
        <f t="shared" si="137"/>
        <v>1256</v>
      </c>
      <c r="K102" s="66">
        <v>4</v>
      </c>
      <c r="L102" s="68">
        <f t="shared" si="138"/>
        <v>182.4768</v>
      </c>
      <c r="M102" s="66">
        <f t="shared" si="139"/>
        <v>1438.4767999999999</v>
      </c>
      <c r="N102" s="66"/>
      <c r="O102" s="66"/>
      <c r="P102" s="66"/>
      <c r="Q102" s="67">
        <f t="shared" si="140"/>
        <v>1438.4767999999999</v>
      </c>
      <c r="R102" s="68">
        <f>R100+Q102</f>
        <v>10724.317200000001</v>
      </c>
    </row>
    <row r="103" spans="1:18" ht="15.75" thickBot="1">
      <c r="A103" s="124">
        <v>5</v>
      </c>
      <c r="B103" s="125" t="s">
        <v>162</v>
      </c>
      <c r="C103" s="126">
        <f>7*0.35+9.8</f>
        <v>12.25</v>
      </c>
      <c r="D103" s="127">
        <f t="shared" ref="D103" si="147">IF(C103&gt;=1,0.15*C103^0.5+0.004*C103,0.15*C103)</f>
        <v>0.57400000000000007</v>
      </c>
      <c r="E103" s="128">
        <f t="shared" ref="E103" si="148">D103*3600</f>
        <v>2066.4</v>
      </c>
      <c r="F103" s="126">
        <v>16</v>
      </c>
      <c r="G103" s="126" t="s">
        <v>157</v>
      </c>
      <c r="H103" s="126">
        <v>0.87</v>
      </c>
      <c r="I103" s="126">
        <v>35.96</v>
      </c>
      <c r="J103" s="126">
        <f t="shared" ref="J103" si="149">I103*F103</f>
        <v>575.36</v>
      </c>
      <c r="K103" s="126">
        <v>4</v>
      </c>
      <c r="L103" s="128">
        <f t="shared" ref="L103" si="150">H103^2*49.5*K103</f>
        <v>149.86619999999999</v>
      </c>
      <c r="M103" s="126">
        <f t="shared" ref="M103" si="151">J103+L103</f>
        <v>725.22620000000006</v>
      </c>
      <c r="N103" s="126"/>
      <c r="O103" s="126"/>
      <c r="P103" s="126"/>
      <c r="Q103" s="129">
        <f t="shared" ref="Q103" si="152">M103+O103+P103*1000</f>
        <v>725.22620000000006</v>
      </c>
      <c r="R103" s="122">
        <f>R101+Q103</f>
        <v>10166.7768</v>
      </c>
    </row>
    <row r="104" spans="1:18" ht="15.75" thickBot="1">
      <c r="A104" s="115"/>
      <c r="B104" s="116" t="s">
        <v>118</v>
      </c>
      <c r="C104" s="117"/>
      <c r="D104" s="117"/>
      <c r="E104" s="117"/>
      <c r="F104" s="117"/>
      <c r="G104" s="117"/>
      <c r="H104" s="117"/>
      <c r="I104" s="117"/>
      <c r="J104" s="117"/>
      <c r="K104" s="118"/>
      <c r="L104" s="117"/>
      <c r="M104" s="117"/>
      <c r="N104" s="117"/>
      <c r="O104" s="117"/>
      <c r="P104" s="117"/>
      <c r="Q104" s="119"/>
      <c r="R104" s="120"/>
    </row>
    <row r="105" spans="1:18">
      <c r="A105" s="79" t="s">
        <v>0</v>
      </c>
      <c r="B105" s="121" t="s">
        <v>1</v>
      </c>
      <c r="C105" s="80" t="s">
        <v>2</v>
      </c>
      <c r="D105" s="80" t="s">
        <v>3</v>
      </c>
      <c r="E105" s="80" t="s">
        <v>3</v>
      </c>
      <c r="F105" s="80" t="s">
        <v>4</v>
      </c>
      <c r="G105" s="80" t="s">
        <v>5</v>
      </c>
      <c r="H105" s="80" t="s">
        <v>6</v>
      </c>
      <c r="I105" s="80" t="s">
        <v>7</v>
      </c>
      <c r="J105" s="80" t="s">
        <v>8</v>
      </c>
      <c r="K105" s="80" t="s">
        <v>9</v>
      </c>
      <c r="L105" s="80" t="s">
        <v>10</v>
      </c>
      <c r="M105" s="80" t="s">
        <v>11</v>
      </c>
      <c r="N105" s="80" t="s">
        <v>12</v>
      </c>
      <c r="O105" s="80" t="s">
        <v>13</v>
      </c>
      <c r="P105" s="80" t="s">
        <v>14</v>
      </c>
      <c r="Q105" s="81" t="s">
        <v>15</v>
      </c>
      <c r="R105" s="82" t="s">
        <v>16</v>
      </c>
    </row>
    <row r="106" spans="1:18">
      <c r="A106" s="83" t="s">
        <v>17</v>
      </c>
      <c r="B106" s="62" t="s">
        <v>18</v>
      </c>
      <c r="C106" s="66" t="s">
        <v>19</v>
      </c>
      <c r="D106" s="66" t="s">
        <v>20</v>
      </c>
      <c r="E106" s="66" t="s">
        <v>21</v>
      </c>
      <c r="F106" s="66" t="s">
        <v>22</v>
      </c>
      <c r="G106" s="66" t="s">
        <v>23</v>
      </c>
      <c r="H106" s="66" t="s">
        <v>24</v>
      </c>
      <c r="I106" s="66" t="s">
        <v>25</v>
      </c>
      <c r="J106" s="66" t="s">
        <v>26</v>
      </c>
      <c r="K106" s="66"/>
      <c r="L106" s="66" t="s">
        <v>26</v>
      </c>
      <c r="M106" s="66" t="s">
        <v>26</v>
      </c>
      <c r="N106" s="66" t="s">
        <v>26</v>
      </c>
      <c r="O106" s="66" t="s">
        <v>27</v>
      </c>
      <c r="P106" s="66" t="s">
        <v>28</v>
      </c>
      <c r="Q106" s="67" t="s">
        <v>29</v>
      </c>
      <c r="R106" s="84" t="s">
        <v>26</v>
      </c>
    </row>
    <row r="107" spans="1:18">
      <c r="A107" s="85">
        <v>1</v>
      </c>
      <c r="B107" s="62" t="s">
        <v>32</v>
      </c>
      <c r="C107" s="66">
        <v>0.35</v>
      </c>
      <c r="D107" s="69">
        <f t="shared" ref="D107:D109" si="153">IF(C107&gt;=1,0.15*C107^0.5+0.004*C107,0.15*C107)</f>
        <v>5.2499999999999998E-2</v>
      </c>
      <c r="E107" s="68">
        <f t="shared" ref="E107:E109" si="154">D107*3600</f>
        <v>189</v>
      </c>
      <c r="F107" s="66">
        <v>1</v>
      </c>
      <c r="G107" s="66" t="s">
        <v>156</v>
      </c>
      <c r="H107" s="66">
        <v>0.5</v>
      </c>
      <c r="I107" s="66">
        <v>45.48</v>
      </c>
      <c r="J107" s="66">
        <f t="shared" ref="J107:J109" si="155">I107*F107</f>
        <v>45.48</v>
      </c>
      <c r="K107" s="66">
        <v>3</v>
      </c>
      <c r="L107" s="68">
        <f t="shared" ref="L107:L109" si="156">H107^2*49.5*K107</f>
        <v>37.125</v>
      </c>
      <c r="M107" s="66">
        <f t="shared" ref="M107:M109" si="157">J107+L107</f>
        <v>82.60499999999999</v>
      </c>
      <c r="N107" s="66">
        <v>300</v>
      </c>
      <c r="O107" s="66">
        <v>3000</v>
      </c>
      <c r="P107" s="66">
        <v>1.7</v>
      </c>
      <c r="Q107" s="67">
        <f>M107+N107+O107+P107*1000</f>
        <v>5082.6049999999996</v>
      </c>
      <c r="R107" s="84">
        <f>Q107</f>
        <v>5082.6049999999996</v>
      </c>
    </row>
    <row r="108" spans="1:18">
      <c r="A108" s="85">
        <v>2</v>
      </c>
      <c r="B108" s="62" t="s">
        <v>102</v>
      </c>
      <c r="C108" s="66">
        <f>2*0.35</f>
        <v>0.7</v>
      </c>
      <c r="D108" s="69">
        <f t="shared" si="153"/>
        <v>0.105</v>
      </c>
      <c r="E108" s="68">
        <f t="shared" si="154"/>
        <v>378</v>
      </c>
      <c r="F108" s="66">
        <v>2</v>
      </c>
      <c r="G108" s="66" t="s">
        <v>154</v>
      </c>
      <c r="H108" s="66">
        <v>0.64</v>
      </c>
      <c r="I108" s="66">
        <v>52.49</v>
      </c>
      <c r="J108" s="66">
        <f t="shared" si="155"/>
        <v>104.98</v>
      </c>
      <c r="K108" s="66">
        <v>2</v>
      </c>
      <c r="L108" s="68">
        <f t="shared" si="156"/>
        <v>40.550400000000003</v>
      </c>
      <c r="M108" s="66">
        <f t="shared" si="157"/>
        <v>145.53040000000001</v>
      </c>
      <c r="N108" s="66"/>
      <c r="O108" s="66"/>
      <c r="P108" s="66"/>
      <c r="Q108" s="67">
        <f t="shared" ref="Q108:Q109" si="158">M108+O108+P108*1000</f>
        <v>145.53040000000001</v>
      </c>
      <c r="R108" s="84">
        <f>R107+Q108</f>
        <v>5228.1353999999992</v>
      </c>
    </row>
    <row r="109" spans="1:18" ht="15.75" thickBot="1">
      <c r="A109" s="86">
        <v>3</v>
      </c>
      <c r="B109" s="87" t="s">
        <v>103</v>
      </c>
      <c r="C109" s="88">
        <f>3*0.35</f>
        <v>1.0499999999999998</v>
      </c>
      <c r="D109" s="89">
        <f t="shared" si="153"/>
        <v>0.15790426148939396</v>
      </c>
      <c r="E109" s="90">
        <f t="shared" si="154"/>
        <v>568.45534136181823</v>
      </c>
      <c r="F109" s="88">
        <v>5</v>
      </c>
      <c r="G109" s="88" t="s">
        <v>155</v>
      </c>
      <c r="H109" s="88">
        <v>0.62</v>
      </c>
      <c r="I109" s="88">
        <v>36.89</v>
      </c>
      <c r="J109" s="88">
        <f t="shared" si="155"/>
        <v>184.45</v>
      </c>
      <c r="K109" s="88">
        <v>4</v>
      </c>
      <c r="L109" s="90">
        <f t="shared" si="156"/>
        <v>76.111200000000011</v>
      </c>
      <c r="M109" s="88">
        <f t="shared" si="157"/>
        <v>260.56119999999999</v>
      </c>
      <c r="N109" s="88"/>
      <c r="O109" s="88"/>
      <c r="P109" s="88"/>
      <c r="Q109" s="91">
        <f t="shared" si="158"/>
        <v>260.56119999999999</v>
      </c>
      <c r="R109" s="122">
        <f>R108+Q109</f>
        <v>5488.6965999999993</v>
      </c>
    </row>
    <row r="110" spans="1:18">
      <c r="A110" s="19"/>
      <c r="B110" s="18"/>
      <c r="C110" s="21"/>
      <c r="D110" s="21"/>
      <c r="E110" s="21"/>
      <c r="F110" s="21"/>
      <c r="G110" s="21"/>
      <c r="H110" s="21"/>
      <c r="I110" s="21"/>
      <c r="J110" s="21"/>
      <c r="K110" s="52"/>
      <c r="L110" s="21"/>
      <c r="M110" s="21"/>
      <c r="N110" s="21"/>
      <c r="O110" s="21"/>
      <c r="P110" s="21"/>
      <c r="Q110" s="53"/>
      <c r="R110" s="54"/>
    </row>
    <row r="111" spans="1:18">
      <c r="A111" s="19"/>
      <c r="B111" s="18"/>
      <c r="C111" s="21"/>
      <c r="D111" s="21"/>
      <c r="E111" s="21"/>
      <c r="F111" s="21"/>
      <c r="G111" s="21"/>
      <c r="H111" s="21"/>
      <c r="I111" s="21"/>
      <c r="J111" s="21"/>
      <c r="K111" s="52"/>
      <c r="L111" s="21"/>
      <c r="M111" s="21"/>
      <c r="N111" s="21"/>
      <c r="O111" s="21"/>
      <c r="P111" s="21"/>
      <c r="Q111" s="53"/>
      <c r="R111" s="54"/>
    </row>
    <row r="112" spans="1:18">
      <c r="A112" s="47" t="s">
        <v>69</v>
      </c>
      <c r="B112" s="63"/>
      <c r="C112" s="47"/>
      <c r="D112" s="63"/>
      <c r="E112" s="47"/>
      <c r="F112" s="63"/>
      <c r="G112" s="47"/>
      <c r="H112" s="63"/>
      <c r="I112" s="47"/>
      <c r="J112" s="63"/>
      <c r="K112"/>
      <c r="L112"/>
      <c r="M112" s="26"/>
      <c r="N112" s="26"/>
      <c r="O112" s="26"/>
      <c r="P112" s="26"/>
      <c r="Q112" s="29"/>
      <c r="R112" s="28"/>
    </row>
    <row r="113" spans="1:18">
      <c r="A113" s="64" t="s">
        <v>83</v>
      </c>
      <c r="B113" s="65"/>
      <c r="C113" s="64"/>
      <c r="D113" s="65"/>
      <c r="E113" s="64"/>
      <c r="F113" s="65"/>
      <c r="G113" s="64"/>
      <c r="H113" s="65"/>
      <c r="I113" s="64"/>
      <c r="J113" s="65"/>
      <c r="K113"/>
      <c r="L113"/>
      <c r="M113" s="26"/>
      <c r="N113" s="26"/>
      <c r="O113" s="26"/>
      <c r="P113" s="26"/>
      <c r="Q113" s="29"/>
      <c r="R113" s="28"/>
    </row>
    <row r="114" spans="1:18">
      <c r="A114" s="19"/>
      <c r="B114" s="18"/>
      <c r="C114" s="21"/>
      <c r="D114" s="21"/>
      <c r="E114" s="21"/>
      <c r="F114" s="21"/>
      <c r="G114" s="21"/>
      <c r="H114" s="21"/>
      <c r="I114" s="21"/>
      <c r="J114" s="21"/>
      <c r="K114" s="52"/>
      <c r="L114" s="21"/>
      <c r="M114" s="21"/>
      <c r="N114" s="21"/>
      <c r="O114" s="21"/>
      <c r="P114" s="21"/>
      <c r="Q114" s="53"/>
      <c r="R114" s="54"/>
    </row>
    <row r="115" spans="1:18">
      <c r="A115" s="25"/>
      <c r="B115" s="25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9"/>
      <c r="R115" s="28"/>
    </row>
    <row r="116" spans="1:18">
      <c r="A116" s="25"/>
      <c r="B116" s="25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9"/>
      <c r="R116" s="28"/>
    </row>
    <row r="117" spans="1:18">
      <c r="A117" s="26"/>
      <c r="B117" s="25"/>
      <c r="C117" s="26"/>
      <c r="D117" s="27"/>
      <c r="E117" s="28"/>
      <c r="F117" s="26"/>
      <c r="G117" s="26"/>
      <c r="H117" s="26"/>
      <c r="I117" s="26"/>
      <c r="J117" s="26"/>
      <c r="K117" s="26"/>
      <c r="L117" s="28"/>
      <c r="M117" s="26"/>
      <c r="N117" s="26"/>
      <c r="O117" s="26"/>
      <c r="P117" s="26"/>
      <c r="Q117" s="29"/>
      <c r="R117" s="28"/>
    </row>
    <row r="118" spans="1:18">
      <c r="A118" s="26"/>
      <c r="B118" s="25"/>
      <c r="C118" s="26"/>
      <c r="D118" s="27"/>
      <c r="E118" s="28"/>
      <c r="F118" s="26"/>
      <c r="G118" s="26"/>
      <c r="H118" s="26"/>
      <c r="I118" s="26"/>
      <c r="J118" s="26"/>
      <c r="K118" s="26"/>
      <c r="L118" s="28"/>
      <c r="M118" s="26"/>
      <c r="N118" s="26"/>
      <c r="O118" s="26"/>
      <c r="P118" s="26"/>
      <c r="Q118" s="29"/>
      <c r="R118" s="28"/>
    </row>
    <row r="119" spans="1:18">
      <c r="A119" s="26"/>
      <c r="B119" s="25"/>
      <c r="C119" s="26"/>
      <c r="D119" s="27"/>
      <c r="E119" s="28"/>
      <c r="F119" s="26"/>
      <c r="G119" s="26"/>
      <c r="H119" s="26"/>
      <c r="I119" s="26"/>
      <c r="J119" s="26"/>
      <c r="K119" s="26"/>
      <c r="L119" s="28"/>
      <c r="M119" s="26"/>
      <c r="N119" s="26"/>
      <c r="O119" s="26"/>
      <c r="P119" s="26"/>
      <c r="Q119" s="29"/>
      <c r="R119" s="28"/>
    </row>
    <row r="120" spans="1:18">
      <c r="A120" s="26"/>
      <c r="B120" s="25"/>
      <c r="C120" s="26"/>
      <c r="D120" s="27"/>
      <c r="E120" s="28"/>
      <c r="F120" s="26"/>
      <c r="G120" s="26"/>
      <c r="H120" s="26"/>
      <c r="I120" s="26"/>
      <c r="J120" s="26"/>
      <c r="K120" s="26"/>
      <c r="L120" s="28"/>
      <c r="M120" s="26"/>
      <c r="N120" s="26"/>
      <c r="O120" s="26"/>
      <c r="P120" s="26"/>
      <c r="Q120" s="29"/>
      <c r="R120" s="28"/>
    </row>
    <row r="121" spans="1:18">
      <c r="A121" s="26"/>
      <c r="B121" s="25"/>
      <c r="C121" s="26"/>
      <c r="D121" s="27"/>
      <c r="E121" s="28"/>
      <c r="F121" s="26"/>
      <c r="G121" s="26"/>
      <c r="H121" s="26"/>
      <c r="I121" s="26"/>
      <c r="J121" s="26"/>
      <c r="K121" s="26"/>
      <c r="L121" s="28"/>
      <c r="M121" s="26"/>
      <c r="N121" s="26"/>
      <c r="O121" s="26"/>
      <c r="P121" s="26"/>
      <c r="Q121" s="29"/>
      <c r="R121" s="28"/>
    </row>
    <row r="122" spans="1:18">
      <c r="A122" s="26"/>
      <c r="B122" s="25"/>
      <c r="C122" s="26"/>
      <c r="D122" s="27"/>
      <c r="E122" s="28"/>
      <c r="F122" s="26"/>
      <c r="G122" s="26"/>
      <c r="H122" s="26"/>
      <c r="I122" s="26"/>
      <c r="J122" s="26"/>
      <c r="K122" s="26"/>
      <c r="L122" s="28"/>
      <c r="M122" s="26"/>
      <c r="N122" s="26"/>
      <c r="O122" s="26"/>
      <c r="P122" s="26"/>
      <c r="Q122" s="29"/>
      <c r="R122" s="28"/>
    </row>
    <row r="123" spans="1:18">
      <c r="A123" s="26"/>
      <c r="B123" s="25"/>
      <c r="C123" s="27"/>
      <c r="D123" s="27"/>
      <c r="E123" s="28"/>
      <c r="F123" s="26"/>
      <c r="G123" s="26"/>
      <c r="H123" s="26"/>
      <c r="I123" s="26"/>
      <c r="J123" s="26"/>
      <c r="K123" s="26"/>
      <c r="L123" s="28"/>
      <c r="M123" s="26"/>
      <c r="N123" s="26"/>
      <c r="O123" s="26"/>
      <c r="P123" s="26"/>
      <c r="Q123" s="29"/>
      <c r="R123" s="28"/>
    </row>
    <row r="124" spans="1:18">
      <c r="A124" s="26"/>
      <c r="B124" s="20"/>
      <c r="C124" s="26"/>
      <c r="D124" s="27"/>
      <c r="E124" s="28"/>
      <c r="F124" s="26"/>
      <c r="G124" s="26"/>
      <c r="H124" s="26"/>
      <c r="I124" s="26"/>
      <c r="J124" s="26"/>
      <c r="K124" s="26"/>
      <c r="L124" s="28"/>
      <c r="M124" s="26"/>
      <c r="N124" s="26"/>
      <c r="O124" s="26"/>
      <c r="P124" s="26"/>
      <c r="Q124" s="29"/>
      <c r="R124" s="28"/>
    </row>
    <row r="125" spans="1:18">
      <c r="A125" s="26"/>
      <c r="B125" s="20"/>
      <c r="C125" s="26"/>
      <c r="D125" s="27"/>
      <c r="E125" s="28"/>
      <c r="F125" s="26"/>
      <c r="G125" s="26"/>
      <c r="H125" s="26"/>
      <c r="I125" s="26"/>
      <c r="J125" s="26"/>
      <c r="K125" s="26"/>
      <c r="L125" s="28"/>
      <c r="M125" s="26"/>
      <c r="N125" s="26"/>
      <c r="O125" s="26"/>
      <c r="P125" s="26"/>
      <c r="Q125" s="29"/>
      <c r="R125" s="28"/>
    </row>
    <row r="126" spans="1:18">
      <c r="A126" s="26"/>
      <c r="B126" s="20"/>
      <c r="C126" s="26"/>
      <c r="D126" s="27"/>
      <c r="E126" s="28"/>
      <c r="F126" s="26"/>
      <c r="G126" s="26"/>
      <c r="H126" s="26"/>
      <c r="I126" s="26"/>
      <c r="J126" s="26"/>
      <c r="K126" s="26"/>
      <c r="L126" s="28"/>
      <c r="M126" s="26"/>
      <c r="N126" s="26"/>
      <c r="O126" s="26"/>
      <c r="P126" s="26"/>
      <c r="Q126" s="29"/>
      <c r="R126" s="28"/>
    </row>
    <row r="127" spans="1:18">
      <c r="A127" s="26"/>
      <c r="B127" s="20"/>
      <c r="C127" s="26"/>
      <c r="D127" s="27"/>
      <c r="E127" s="28"/>
      <c r="F127" s="26"/>
      <c r="G127" s="26"/>
      <c r="H127" s="26"/>
      <c r="I127" s="26"/>
      <c r="J127" s="26"/>
      <c r="K127" s="26"/>
      <c r="L127" s="28"/>
      <c r="M127" s="26"/>
      <c r="N127" s="26"/>
      <c r="O127" s="26"/>
      <c r="P127" s="26"/>
      <c r="Q127" s="29"/>
      <c r="R127" s="28"/>
    </row>
    <row r="128" spans="1:18">
      <c r="A128" s="26"/>
      <c r="B128" s="20"/>
      <c r="C128" s="26"/>
      <c r="D128" s="27"/>
      <c r="E128" s="28"/>
      <c r="F128" s="26"/>
      <c r="G128" s="26"/>
      <c r="H128" s="26"/>
      <c r="I128" s="26"/>
      <c r="J128" s="26"/>
      <c r="K128" s="26"/>
      <c r="L128" s="28"/>
      <c r="M128" s="26"/>
      <c r="N128" s="26"/>
      <c r="O128" s="26"/>
      <c r="P128" s="26"/>
      <c r="Q128" s="29"/>
      <c r="R128" s="28"/>
    </row>
    <row r="129" spans="1:18">
      <c r="A129" s="19"/>
      <c r="B129" s="18"/>
      <c r="C129" s="21"/>
      <c r="D129" s="21"/>
      <c r="E129" s="21"/>
      <c r="F129" s="21"/>
      <c r="G129" s="21"/>
      <c r="H129" s="21"/>
      <c r="I129" s="21"/>
      <c r="J129" s="21"/>
      <c r="K129" s="52"/>
      <c r="L129" s="21"/>
      <c r="M129" s="21"/>
      <c r="N129" s="21"/>
      <c r="O129" s="21"/>
      <c r="P129" s="21"/>
      <c r="Q129" s="53"/>
      <c r="R129" s="54"/>
    </row>
    <row r="130" spans="1:18">
      <c r="A130" s="25"/>
      <c r="B130" s="25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9"/>
      <c r="R130" s="28"/>
    </row>
    <row r="131" spans="1:18">
      <c r="A131" s="25"/>
      <c r="B131" s="25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9"/>
      <c r="R131" s="28"/>
    </row>
    <row r="132" spans="1:18">
      <c r="A132" s="26"/>
      <c r="B132" s="25"/>
      <c r="C132" s="26"/>
      <c r="D132" s="27"/>
      <c r="E132" s="28"/>
      <c r="F132" s="26"/>
      <c r="G132" s="26"/>
      <c r="H132" s="26"/>
      <c r="I132" s="26"/>
      <c r="J132" s="26"/>
      <c r="K132" s="26"/>
      <c r="L132" s="28"/>
      <c r="M132" s="26"/>
      <c r="N132" s="26"/>
      <c r="O132" s="26"/>
      <c r="P132" s="26"/>
      <c r="Q132" s="29"/>
      <c r="R132" s="28"/>
    </row>
    <row r="133" spans="1:18">
      <c r="A133" s="26"/>
      <c r="B133" s="25"/>
      <c r="C133" s="26"/>
      <c r="D133" s="27"/>
      <c r="E133" s="28"/>
      <c r="F133" s="26"/>
      <c r="G133" s="26"/>
      <c r="H133" s="26"/>
      <c r="I133" s="26"/>
      <c r="J133" s="26"/>
      <c r="K133" s="26"/>
      <c r="L133" s="28"/>
      <c r="M133" s="26"/>
      <c r="N133" s="26"/>
      <c r="O133" s="26"/>
      <c r="P133" s="26"/>
      <c r="Q133" s="29"/>
      <c r="R133" s="28"/>
    </row>
    <row r="134" spans="1:18">
      <c r="A134" s="26"/>
      <c r="B134" s="25"/>
      <c r="C134" s="26"/>
      <c r="D134" s="27"/>
      <c r="E134" s="28"/>
      <c r="F134" s="26"/>
      <c r="G134" s="26"/>
      <c r="H134" s="26"/>
      <c r="I134" s="26"/>
      <c r="J134" s="26"/>
      <c r="K134" s="26"/>
      <c r="L134" s="28"/>
      <c r="M134" s="26"/>
      <c r="N134" s="26"/>
      <c r="O134" s="26"/>
      <c r="P134" s="26"/>
      <c r="Q134" s="29"/>
      <c r="R134" s="28"/>
    </row>
    <row r="135" spans="1:18">
      <c r="A135" s="26"/>
      <c r="B135" s="25"/>
      <c r="C135" s="26"/>
      <c r="D135" s="27"/>
      <c r="E135" s="28"/>
      <c r="F135" s="26"/>
      <c r="G135" s="26"/>
      <c r="H135" s="26"/>
      <c r="I135" s="26"/>
      <c r="J135" s="26"/>
      <c r="K135" s="26"/>
      <c r="L135" s="28"/>
      <c r="M135" s="26"/>
      <c r="N135" s="26"/>
      <c r="O135" s="26"/>
      <c r="P135" s="26"/>
      <c r="Q135" s="29"/>
      <c r="R135" s="28"/>
    </row>
    <row r="136" spans="1:18">
      <c r="A136" s="26"/>
      <c r="B136" s="25"/>
      <c r="C136" s="26"/>
      <c r="D136" s="27"/>
      <c r="E136" s="28"/>
      <c r="F136" s="26"/>
      <c r="G136" s="26"/>
      <c r="H136" s="26"/>
      <c r="I136" s="26"/>
      <c r="J136" s="26"/>
      <c r="K136" s="26"/>
      <c r="L136" s="28"/>
      <c r="M136" s="26"/>
      <c r="N136" s="26"/>
      <c r="O136" s="26"/>
      <c r="P136" s="26"/>
      <c r="Q136" s="29"/>
      <c r="R136" s="28"/>
    </row>
    <row r="137" spans="1:18">
      <c r="A137" s="26"/>
      <c r="B137" s="25"/>
      <c r="C137" s="26"/>
      <c r="D137" s="27"/>
      <c r="E137" s="28"/>
      <c r="F137" s="26"/>
      <c r="G137" s="26"/>
      <c r="H137" s="26"/>
      <c r="I137" s="26"/>
      <c r="J137" s="26"/>
      <c r="K137" s="26"/>
      <c r="L137" s="28"/>
      <c r="M137" s="26"/>
      <c r="N137" s="26"/>
      <c r="O137" s="26"/>
      <c r="P137" s="26"/>
      <c r="Q137" s="29"/>
      <c r="R137" s="28"/>
    </row>
    <row r="138" spans="1:18">
      <c r="A138" s="26"/>
      <c r="B138" s="25"/>
      <c r="C138" s="27"/>
      <c r="D138" s="27"/>
      <c r="E138" s="28"/>
      <c r="F138" s="26"/>
      <c r="G138" s="26"/>
      <c r="H138" s="26"/>
      <c r="I138" s="26"/>
      <c r="J138" s="26"/>
      <c r="K138" s="26"/>
      <c r="L138" s="28"/>
      <c r="M138" s="26"/>
      <c r="N138" s="26"/>
      <c r="O138" s="26"/>
      <c r="P138" s="26"/>
      <c r="Q138" s="29"/>
      <c r="R138" s="28"/>
    </row>
    <row r="139" spans="1:18">
      <c r="A139" s="26"/>
      <c r="B139" s="20"/>
      <c r="C139" s="26"/>
      <c r="D139" s="27"/>
      <c r="E139" s="28"/>
      <c r="F139" s="26"/>
      <c r="G139" s="26"/>
      <c r="H139" s="26"/>
      <c r="I139" s="26"/>
      <c r="J139" s="26"/>
      <c r="K139" s="26"/>
      <c r="L139" s="28"/>
      <c r="M139" s="26"/>
      <c r="N139" s="26"/>
      <c r="O139" s="26"/>
      <c r="P139" s="26"/>
      <c r="Q139" s="29"/>
      <c r="R139" s="28"/>
    </row>
    <row r="140" spans="1:18">
      <c r="A140" s="26"/>
      <c r="B140" s="20"/>
      <c r="C140" s="26"/>
      <c r="D140" s="27"/>
      <c r="E140" s="28"/>
      <c r="F140" s="26"/>
      <c r="G140" s="26"/>
      <c r="H140" s="26"/>
      <c r="I140" s="26"/>
      <c r="J140" s="26"/>
      <c r="K140" s="26"/>
      <c r="L140" s="28"/>
      <c r="M140" s="26"/>
      <c r="N140" s="26"/>
      <c r="O140" s="26"/>
      <c r="P140" s="26"/>
      <c r="Q140" s="29"/>
      <c r="R140" s="28"/>
    </row>
    <row r="141" spans="1:18">
      <c r="A141" s="26"/>
      <c r="B141" s="20"/>
      <c r="C141" s="26"/>
      <c r="D141" s="27"/>
      <c r="E141" s="28"/>
      <c r="F141" s="26"/>
      <c r="G141" s="26"/>
      <c r="H141" s="26"/>
      <c r="I141" s="26"/>
      <c r="J141" s="26"/>
      <c r="K141" s="26"/>
      <c r="L141" s="28"/>
      <c r="M141" s="26"/>
      <c r="N141" s="26"/>
      <c r="O141" s="26"/>
      <c r="P141" s="26"/>
      <c r="Q141" s="29"/>
      <c r="R141" s="28"/>
    </row>
    <row r="142" spans="1:18">
      <c r="A142" s="26"/>
      <c r="B142" s="25"/>
      <c r="C142" s="26"/>
      <c r="D142" s="27"/>
      <c r="E142" s="28"/>
      <c r="F142" s="26"/>
      <c r="G142" s="26"/>
      <c r="H142" s="26"/>
      <c r="I142" s="26"/>
      <c r="J142" s="26"/>
      <c r="K142" s="26"/>
      <c r="L142" s="28"/>
      <c r="M142" s="26"/>
      <c r="N142" s="26"/>
      <c r="O142" s="26"/>
      <c r="P142" s="26"/>
      <c r="Q142" s="29"/>
      <c r="R142" s="28"/>
    </row>
    <row r="143" spans="1:18">
      <c r="A143" s="26"/>
      <c r="B143" s="25"/>
      <c r="C143" s="26"/>
      <c r="D143" s="27"/>
      <c r="E143" s="28"/>
      <c r="F143" s="26"/>
      <c r="G143" s="26"/>
      <c r="H143" s="26"/>
      <c r="I143" s="26"/>
      <c r="J143" s="26"/>
      <c r="K143" s="26"/>
      <c r="L143" s="28"/>
      <c r="M143" s="26"/>
      <c r="N143" s="26"/>
      <c r="O143" s="26"/>
      <c r="P143" s="26"/>
      <c r="Q143" s="29"/>
      <c r="R143" s="28"/>
    </row>
    <row r="144" spans="1:18">
      <c r="A144" s="26"/>
      <c r="B144" s="25"/>
      <c r="C144" s="26"/>
      <c r="D144" s="27"/>
      <c r="E144" s="28"/>
      <c r="F144" s="26"/>
      <c r="G144" s="26"/>
      <c r="H144" s="26"/>
      <c r="I144" s="26"/>
      <c r="J144" s="26"/>
      <c r="K144" s="26"/>
      <c r="L144" s="28"/>
      <c r="M144" s="26"/>
      <c r="N144" s="26"/>
      <c r="O144" s="26"/>
      <c r="P144" s="26"/>
      <c r="Q144" s="29"/>
      <c r="R144" s="28"/>
    </row>
    <row r="145" spans="1:18">
      <c r="A145" s="26"/>
      <c r="B145" s="20"/>
      <c r="C145" s="26"/>
      <c r="D145" s="27"/>
      <c r="E145" s="28"/>
      <c r="F145" s="26"/>
      <c r="G145" s="26"/>
      <c r="H145" s="26"/>
      <c r="I145" s="26"/>
      <c r="J145" s="26"/>
      <c r="K145" s="26"/>
      <c r="L145" s="28"/>
      <c r="M145" s="26"/>
      <c r="N145" s="26"/>
      <c r="O145" s="26"/>
      <c r="P145" s="26"/>
      <c r="Q145" s="29"/>
      <c r="R145" s="28"/>
    </row>
  </sheetData>
  <phoneticPr fontId="11" type="noConversion"/>
  <printOptions horizontalCentered="1"/>
  <pageMargins left="0.2" right="0.2" top="0.72" bottom="0.2" header="0" footer="0"/>
  <pageSetup paperSize="9" scale="8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A156"/>
  <sheetViews>
    <sheetView view="pageBreakPreview" topLeftCell="A40" zoomScale="60" workbookViewId="0">
      <selection activeCell="H89" sqref="H89"/>
    </sheetView>
  </sheetViews>
  <sheetFormatPr defaultRowHeight="15"/>
  <cols>
    <col min="1" max="1" width="5.28515625" style="30" customWidth="1"/>
    <col min="2" max="2" width="25.7109375" style="30" customWidth="1"/>
    <col min="3" max="3" width="7.140625" style="3" customWidth="1"/>
    <col min="4" max="4" width="6.85546875" style="3" customWidth="1"/>
    <col min="5" max="5" width="6.28515625" style="3" customWidth="1"/>
    <col min="6" max="6" width="5.140625" style="3" customWidth="1"/>
    <col min="7" max="7" width="15.7109375" style="3" customWidth="1"/>
    <col min="8" max="8" width="5.140625" style="3" customWidth="1"/>
    <col min="9" max="9" width="9" style="3" customWidth="1"/>
    <col min="10" max="10" width="7.140625" style="3" customWidth="1"/>
    <col min="11" max="11" width="5.7109375" style="3" customWidth="1"/>
    <col min="12" max="12" width="6.42578125" style="3" customWidth="1"/>
    <col min="13" max="13" width="7.42578125" style="3" customWidth="1"/>
    <col min="14" max="14" width="7.85546875" style="3" customWidth="1"/>
    <col min="15" max="15" width="6.85546875" style="3" customWidth="1"/>
    <col min="16" max="16" width="6.28515625" style="31" customWidth="1"/>
    <col min="17" max="17" width="8.42578125" style="32" customWidth="1"/>
    <col min="18" max="18" width="9.28515625" style="30" customWidth="1"/>
    <col min="19" max="19" width="4.28515625" style="33" customWidth="1"/>
    <col min="20" max="20" width="4.140625" style="33" customWidth="1"/>
    <col min="21" max="21" width="7.140625" style="33" customWidth="1"/>
    <col min="22" max="22" width="5.140625" style="33" customWidth="1"/>
    <col min="23" max="23" width="8.7109375" style="30" customWidth="1"/>
    <col min="24" max="24" width="10" style="30" customWidth="1"/>
    <col min="25" max="25" width="5.28515625" style="30" customWidth="1"/>
    <col min="26" max="26" width="2.140625" style="30" customWidth="1"/>
    <col min="27" max="27" width="6.140625" style="30" customWidth="1"/>
    <col min="28" max="28" width="2.140625" style="30" customWidth="1"/>
    <col min="29" max="29" width="6.28515625" style="30" customWidth="1"/>
    <col min="30" max="30" width="3.140625" style="30" customWidth="1"/>
    <col min="31" max="31" width="6.28515625" style="30" customWidth="1"/>
    <col min="32" max="32" width="2.140625" style="30" customWidth="1"/>
    <col min="33" max="16384" width="9.140625" style="30"/>
  </cols>
  <sheetData>
    <row r="2" spans="1:27">
      <c r="J2" s="6" t="s">
        <v>30</v>
      </c>
      <c r="K2" s="1">
        <v>0.35</v>
      </c>
      <c r="L2" s="1">
        <f>K2*0.7</f>
        <v>0.24499999999999997</v>
      </c>
      <c r="M2" s="1">
        <v>33</v>
      </c>
      <c r="N2" s="1">
        <f>M2*0.35</f>
        <v>11.549999999999999</v>
      </c>
    </row>
    <row r="3" spans="1:27">
      <c r="J3" s="6" t="s">
        <v>73</v>
      </c>
      <c r="K3" s="1">
        <v>1</v>
      </c>
      <c r="L3" s="1">
        <f>K3*0.7</f>
        <v>0.7</v>
      </c>
      <c r="M3" s="1">
        <v>11</v>
      </c>
      <c r="N3" s="1">
        <f>M3*1</f>
        <v>11</v>
      </c>
    </row>
    <row r="4" spans="1:27">
      <c r="J4" s="6" t="s">
        <v>74</v>
      </c>
      <c r="K4" s="1">
        <v>0.35</v>
      </c>
      <c r="L4" s="1">
        <f>K4*0.7</f>
        <v>0.24499999999999997</v>
      </c>
      <c r="M4" s="1">
        <v>11</v>
      </c>
      <c r="N4" s="1">
        <f>M4*0.35</f>
        <v>3.8499999999999996</v>
      </c>
    </row>
    <row r="5" spans="1:27">
      <c r="J5" s="6" t="s">
        <v>31</v>
      </c>
      <c r="K5" s="1">
        <v>0.5</v>
      </c>
      <c r="L5" s="1"/>
      <c r="M5" s="1">
        <v>0</v>
      </c>
      <c r="N5" s="1">
        <f>M5*0.5</f>
        <v>0</v>
      </c>
    </row>
    <row r="6" spans="1:27">
      <c r="J6" s="6" t="s">
        <v>75</v>
      </c>
      <c r="K6" s="1">
        <v>1</v>
      </c>
      <c r="L6" s="1">
        <f>K6*0.7</f>
        <v>0.7</v>
      </c>
      <c r="M6" s="1">
        <v>11</v>
      </c>
      <c r="N6" s="1">
        <f>M6*1</f>
        <v>11</v>
      </c>
    </row>
    <row r="7" spans="1:27">
      <c r="J7" s="1" t="s">
        <v>76</v>
      </c>
      <c r="K7" s="1">
        <v>1</v>
      </c>
      <c r="L7" s="1">
        <f>K7*0.7</f>
        <v>0.7</v>
      </c>
      <c r="M7" s="1">
        <v>10</v>
      </c>
      <c r="N7" s="1">
        <f>M7*1</f>
        <v>10</v>
      </c>
    </row>
    <row r="8" spans="1:27">
      <c r="J8" s="1" t="s">
        <v>77</v>
      </c>
      <c r="K8" s="1">
        <v>1</v>
      </c>
      <c r="L8" s="1">
        <f>K8*0.7</f>
        <v>0.7</v>
      </c>
      <c r="M8" s="1">
        <v>10</v>
      </c>
      <c r="N8" s="1">
        <f>M8*1</f>
        <v>10</v>
      </c>
    </row>
    <row r="9" spans="1:27" s="33" customFormat="1">
      <c r="A9" s="75" t="s">
        <v>79</v>
      </c>
      <c r="B9" s="75"/>
      <c r="C9" s="2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34"/>
      <c r="Q9" s="35"/>
    </row>
    <row r="10" spans="1:27" s="33" customFormat="1" ht="14.25">
      <c r="A10" s="11"/>
      <c r="B10" s="11"/>
      <c r="C10" s="7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34"/>
      <c r="Q10" s="35"/>
    </row>
    <row r="11" spans="1:27" ht="13.5" customHeight="1" thickBot="1">
      <c r="A11" s="36"/>
      <c r="B11" s="36"/>
      <c r="C11" s="37"/>
      <c r="D11" s="38"/>
      <c r="E11" s="39"/>
      <c r="F11" s="37"/>
      <c r="G11" s="37"/>
      <c r="H11" s="37"/>
      <c r="I11" s="37"/>
      <c r="J11" s="37"/>
      <c r="K11" s="37"/>
      <c r="L11" s="39"/>
      <c r="M11" s="37"/>
      <c r="N11" s="37"/>
      <c r="O11" s="37"/>
      <c r="P11" s="40"/>
      <c r="Q11" s="39"/>
      <c r="R11" s="41"/>
    </row>
    <row r="12" spans="1:27">
      <c r="A12" s="79"/>
      <c r="B12" s="112" t="s">
        <v>100</v>
      </c>
      <c r="C12" s="80"/>
      <c r="D12" s="80"/>
      <c r="E12" s="80"/>
      <c r="F12" s="80"/>
      <c r="G12" s="80"/>
      <c r="H12" s="80"/>
      <c r="I12" s="80"/>
      <c r="J12" s="80"/>
      <c r="K12" s="113"/>
      <c r="L12" s="80"/>
      <c r="M12" s="80"/>
      <c r="N12" s="80"/>
      <c r="O12" s="80"/>
      <c r="P12" s="80"/>
      <c r="Q12" s="81"/>
      <c r="R12" s="82"/>
      <c r="S12" s="1"/>
      <c r="T12" s="6"/>
      <c r="U12" s="1"/>
      <c r="V12" s="1"/>
      <c r="W12" s="1"/>
      <c r="X12" s="1"/>
      <c r="Y12" s="1"/>
      <c r="Z12" s="1"/>
      <c r="AA12" s="1"/>
    </row>
    <row r="13" spans="1:27">
      <c r="A13" s="83" t="s">
        <v>0</v>
      </c>
      <c r="B13" s="62" t="s">
        <v>1</v>
      </c>
      <c r="C13" s="66" t="s">
        <v>2</v>
      </c>
      <c r="D13" s="66" t="s">
        <v>3</v>
      </c>
      <c r="E13" s="66" t="s">
        <v>3</v>
      </c>
      <c r="F13" s="66" t="s">
        <v>4</v>
      </c>
      <c r="G13" s="66" t="s">
        <v>5</v>
      </c>
      <c r="H13" s="66" t="s">
        <v>6</v>
      </c>
      <c r="I13" s="66" t="s">
        <v>7</v>
      </c>
      <c r="J13" s="66" t="s">
        <v>8</v>
      </c>
      <c r="K13" s="66" t="s">
        <v>9</v>
      </c>
      <c r="L13" s="66" t="s">
        <v>10</v>
      </c>
      <c r="M13" s="66" t="s">
        <v>11</v>
      </c>
      <c r="N13" s="66" t="s">
        <v>12</v>
      </c>
      <c r="O13" s="66" t="s">
        <v>13</v>
      </c>
      <c r="P13" s="66" t="s">
        <v>14</v>
      </c>
      <c r="Q13" s="67" t="s">
        <v>15</v>
      </c>
      <c r="R13" s="84" t="s">
        <v>16</v>
      </c>
      <c r="S13" s="1"/>
      <c r="Y13" s="1"/>
      <c r="Z13" s="1"/>
      <c r="AA13" s="1"/>
    </row>
    <row r="14" spans="1:27">
      <c r="A14" s="83" t="s">
        <v>17</v>
      </c>
      <c r="B14" s="62" t="s">
        <v>18</v>
      </c>
      <c r="C14" s="66" t="s">
        <v>19</v>
      </c>
      <c r="D14" s="66" t="s">
        <v>20</v>
      </c>
      <c r="E14" s="66" t="s">
        <v>21</v>
      </c>
      <c r="F14" s="66" t="s">
        <v>22</v>
      </c>
      <c r="G14" s="66" t="s">
        <v>23</v>
      </c>
      <c r="H14" s="66" t="s">
        <v>24</v>
      </c>
      <c r="I14" s="66" t="s">
        <v>25</v>
      </c>
      <c r="J14" s="66" t="s">
        <v>26</v>
      </c>
      <c r="K14" s="66"/>
      <c r="L14" s="66" t="s">
        <v>26</v>
      </c>
      <c r="M14" s="66" t="s">
        <v>26</v>
      </c>
      <c r="N14" s="66" t="s">
        <v>26</v>
      </c>
      <c r="O14" s="66" t="s">
        <v>27</v>
      </c>
      <c r="P14" s="66" t="s">
        <v>28</v>
      </c>
      <c r="Q14" s="67" t="s">
        <v>29</v>
      </c>
      <c r="R14" s="84" t="s">
        <v>26</v>
      </c>
      <c r="S14" s="1"/>
      <c r="T14" s="6"/>
      <c r="U14" s="1"/>
      <c r="V14" s="1"/>
      <c r="W14" s="1"/>
      <c r="X14" s="1"/>
      <c r="Y14" s="1"/>
      <c r="Z14" s="1"/>
      <c r="AA14" s="1"/>
    </row>
    <row r="15" spans="1:27">
      <c r="A15" s="85">
        <v>1</v>
      </c>
      <c r="B15" s="62" t="s">
        <v>32</v>
      </c>
      <c r="C15" s="66">
        <f>1*0.25</f>
        <v>0.25</v>
      </c>
      <c r="D15" s="69">
        <f t="shared" ref="D15:D17" si="0">IF(C15&gt;=1,0.15*C15^0.5+0.004*C15,0.15*C15)</f>
        <v>3.7499999999999999E-2</v>
      </c>
      <c r="E15" s="68">
        <f t="shared" ref="E15:E22" si="1">D15*3600</f>
        <v>135</v>
      </c>
      <c r="F15" s="66">
        <v>0.5</v>
      </c>
      <c r="G15" s="66" t="s">
        <v>156</v>
      </c>
      <c r="H15" s="66">
        <v>0.36</v>
      </c>
      <c r="I15" s="66">
        <v>18.98</v>
      </c>
      <c r="J15" s="66">
        <f t="shared" ref="J15:J22" si="2">I15*F15</f>
        <v>9.49</v>
      </c>
      <c r="K15" s="66">
        <v>3</v>
      </c>
      <c r="L15" s="68">
        <f t="shared" ref="L15:L22" si="3">H15^2*49.5*K15</f>
        <v>19.2456</v>
      </c>
      <c r="M15" s="66">
        <f t="shared" ref="M15:M22" si="4">J15+L15</f>
        <v>28.735599999999998</v>
      </c>
      <c r="N15" s="66">
        <v>300</v>
      </c>
      <c r="O15" s="66">
        <v>3000</v>
      </c>
      <c r="P15" s="66">
        <v>3.7</v>
      </c>
      <c r="Q15" s="67">
        <f>M15+N15+O15+P15*1000</f>
        <v>7028.7356</v>
      </c>
      <c r="R15" s="84">
        <f>Q15</f>
        <v>7028.7356</v>
      </c>
      <c r="S15" s="1"/>
      <c r="T15" s="6"/>
      <c r="U15" s="1"/>
      <c r="V15" s="1"/>
      <c r="W15" s="1"/>
      <c r="X15" s="1"/>
      <c r="Y15" s="1"/>
      <c r="Z15" s="1"/>
      <c r="AA15" s="1"/>
    </row>
    <row r="16" spans="1:27">
      <c r="A16" s="85">
        <v>2</v>
      </c>
      <c r="B16" s="62" t="s">
        <v>102</v>
      </c>
      <c r="C16" s="66">
        <f>2*0.25</f>
        <v>0.5</v>
      </c>
      <c r="D16" s="69">
        <f t="shared" si="0"/>
        <v>7.4999999999999997E-2</v>
      </c>
      <c r="E16" s="68">
        <f t="shared" si="1"/>
        <v>270</v>
      </c>
      <c r="F16" s="66">
        <v>0.5</v>
      </c>
      <c r="G16" s="66" t="s">
        <v>159</v>
      </c>
      <c r="H16" s="66">
        <v>0.46</v>
      </c>
      <c r="I16" s="66">
        <v>22.06</v>
      </c>
      <c r="J16" s="66">
        <f t="shared" si="2"/>
        <v>11.03</v>
      </c>
      <c r="K16" s="66">
        <v>2</v>
      </c>
      <c r="L16" s="68">
        <f t="shared" si="3"/>
        <v>20.948399999999999</v>
      </c>
      <c r="M16" s="66">
        <f t="shared" si="4"/>
        <v>31.978400000000001</v>
      </c>
      <c r="N16" s="66"/>
      <c r="O16" s="66"/>
      <c r="P16" s="66"/>
      <c r="Q16" s="67">
        <f>M16+N16+O16+P16*1000</f>
        <v>31.978400000000001</v>
      </c>
      <c r="R16" s="84">
        <f>Q16+R15</f>
        <v>7060.7139999999999</v>
      </c>
      <c r="S16" s="1"/>
      <c r="T16" s="6"/>
      <c r="U16" s="1"/>
      <c r="V16" s="1"/>
      <c r="W16" s="1"/>
      <c r="X16" s="1"/>
      <c r="Y16" s="1"/>
      <c r="Z16" s="1"/>
      <c r="AA16" s="1"/>
    </row>
    <row r="17" spans="1:27">
      <c r="A17" s="85">
        <v>3</v>
      </c>
      <c r="B17" s="62" t="s">
        <v>103</v>
      </c>
      <c r="C17" s="66">
        <f>3*0.25</f>
        <v>0.75</v>
      </c>
      <c r="D17" s="69">
        <f t="shared" si="0"/>
        <v>0.11249999999999999</v>
      </c>
      <c r="E17" s="68">
        <f t="shared" si="1"/>
        <v>404.99999999999994</v>
      </c>
      <c r="F17" s="66">
        <v>1</v>
      </c>
      <c r="G17" s="66" t="s">
        <v>154</v>
      </c>
      <c r="H17" s="66">
        <v>0.69</v>
      </c>
      <c r="I17" s="66">
        <v>48.74</v>
      </c>
      <c r="J17" s="66">
        <f t="shared" si="2"/>
        <v>48.74</v>
      </c>
      <c r="K17" s="66">
        <v>2</v>
      </c>
      <c r="L17" s="68">
        <f t="shared" si="3"/>
        <v>47.13389999999999</v>
      </c>
      <c r="M17" s="66">
        <f t="shared" si="4"/>
        <v>95.873899999999992</v>
      </c>
      <c r="N17" s="66"/>
      <c r="O17" s="66"/>
      <c r="P17" s="66"/>
      <c r="Q17" s="67">
        <f>M17+N17+O17+P17*1000</f>
        <v>95.873899999999992</v>
      </c>
      <c r="R17" s="84">
        <f t="shared" ref="R17:R22" si="5">Q17+R16</f>
        <v>7156.5878999999995</v>
      </c>
      <c r="S17" s="1"/>
      <c r="T17" s="6"/>
      <c r="U17" s="1"/>
      <c r="V17" s="1"/>
      <c r="W17" s="1"/>
      <c r="X17" s="1"/>
      <c r="Y17" s="1"/>
      <c r="Z17" s="1"/>
      <c r="AA17" s="1"/>
    </row>
    <row r="18" spans="1:27">
      <c r="A18" s="85">
        <v>4</v>
      </c>
      <c r="B18" s="62" t="s">
        <v>105</v>
      </c>
      <c r="C18" s="66">
        <f>4*0.25</f>
        <v>1</v>
      </c>
      <c r="D18" s="69">
        <f>IF(C18&gt;=1,0.15*C18^0.5+0.004*C18,0.15*C18)</f>
        <v>0.154</v>
      </c>
      <c r="E18" s="68">
        <f t="shared" si="1"/>
        <v>554.4</v>
      </c>
      <c r="F18" s="66">
        <v>3</v>
      </c>
      <c r="G18" s="66" t="s">
        <v>155</v>
      </c>
      <c r="H18" s="66">
        <v>0.61</v>
      </c>
      <c r="I18" s="66">
        <v>28.74</v>
      </c>
      <c r="J18" s="66">
        <f t="shared" si="2"/>
        <v>86.22</v>
      </c>
      <c r="K18" s="66">
        <v>2</v>
      </c>
      <c r="L18" s="68">
        <f t="shared" si="3"/>
        <v>36.837899999999998</v>
      </c>
      <c r="M18" s="66">
        <f t="shared" si="4"/>
        <v>123.05789999999999</v>
      </c>
      <c r="N18" s="66"/>
      <c r="O18" s="66"/>
      <c r="P18" s="66"/>
      <c r="Q18" s="67">
        <f>M18+N18+O18+P18*1000</f>
        <v>123.05789999999999</v>
      </c>
      <c r="R18" s="84">
        <f t="shared" si="5"/>
        <v>7279.6457999999993</v>
      </c>
      <c r="S18" s="1"/>
      <c r="T18" s="6"/>
      <c r="U18" s="1"/>
      <c r="V18" s="1"/>
      <c r="W18" s="1"/>
      <c r="X18" s="1"/>
      <c r="Y18" s="1"/>
      <c r="Z18" s="1"/>
      <c r="AA18" s="1"/>
    </row>
    <row r="19" spans="1:27">
      <c r="A19" s="85">
        <v>5</v>
      </c>
      <c r="B19" s="62" t="s">
        <v>119</v>
      </c>
      <c r="C19" s="66">
        <f>9*0.25</f>
        <v>2.25</v>
      </c>
      <c r="D19" s="69">
        <f t="shared" ref="D19:D22" si="6">IF(C19&gt;=1,0.15*C19^0.5+0.004*C19,0.15*C19)</f>
        <v>0.23399999999999999</v>
      </c>
      <c r="E19" s="68">
        <f t="shared" si="1"/>
        <v>842.4</v>
      </c>
      <c r="F19" s="66">
        <v>1.2</v>
      </c>
      <c r="G19" s="66" t="s">
        <v>131</v>
      </c>
      <c r="H19" s="66">
        <v>0.92</v>
      </c>
      <c r="I19" s="66">
        <v>61.8</v>
      </c>
      <c r="J19" s="66">
        <f t="shared" si="2"/>
        <v>74.16</v>
      </c>
      <c r="K19" s="66">
        <v>2</v>
      </c>
      <c r="L19" s="68">
        <f t="shared" si="3"/>
        <v>83.793599999999998</v>
      </c>
      <c r="M19" s="66">
        <f t="shared" si="4"/>
        <v>157.95359999999999</v>
      </c>
      <c r="N19" s="66"/>
      <c r="O19" s="66"/>
      <c r="P19" s="66"/>
      <c r="Q19" s="67">
        <f t="shared" ref="Q19:Q22" si="7">M19+O19+P19*1000</f>
        <v>157.95359999999999</v>
      </c>
      <c r="R19" s="84">
        <f t="shared" si="5"/>
        <v>7437.5993999999992</v>
      </c>
      <c r="S19" s="1"/>
      <c r="T19" s="6"/>
      <c r="U19" s="1"/>
      <c r="V19" s="1"/>
      <c r="W19" s="1"/>
      <c r="X19" s="1"/>
      <c r="Y19" s="1"/>
      <c r="Z19" s="1"/>
      <c r="AA19" s="1"/>
    </row>
    <row r="20" spans="1:27">
      <c r="A20" s="85">
        <v>6</v>
      </c>
      <c r="B20" s="62" t="s">
        <v>120</v>
      </c>
      <c r="C20" s="66">
        <f>10*0.25+2*0.7</f>
        <v>3.9</v>
      </c>
      <c r="D20" s="69">
        <f t="shared" si="6"/>
        <v>0.31182626487197246</v>
      </c>
      <c r="E20" s="68">
        <f t="shared" si="1"/>
        <v>1122.5745535391009</v>
      </c>
      <c r="F20" s="66">
        <v>5</v>
      </c>
      <c r="G20" s="66" t="s">
        <v>131</v>
      </c>
      <c r="H20" s="66">
        <v>0.54</v>
      </c>
      <c r="I20" s="66">
        <v>12.98</v>
      </c>
      <c r="J20" s="66">
        <f t="shared" si="2"/>
        <v>64.900000000000006</v>
      </c>
      <c r="K20" s="66">
        <v>2</v>
      </c>
      <c r="L20" s="68">
        <f t="shared" si="3"/>
        <v>28.868400000000001</v>
      </c>
      <c r="M20" s="66">
        <f t="shared" si="4"/>
        <v>93.768400000000014</v>
      </c>
      <c r="N20" s="66"/>
      <c r="O20" s="66"/>
      <c r="P20" s="66"/>
      <c r="Q20" s="67">
        <f t="shared" si="7"/>
        <v>93.768400000000014</v>
      </c>
      <c r="R20" s="84">
        <f t="shared" si="5"/>
        <v>7531.3677999999991</v>
      </c>
      <c r="S20" s="1"/>
      <c r="T20" s="6"/>
      <c r="U20" s="1"/>
      <c r="V20" s="1"/>
      <c r="W20" s="1"/>
      <c r="X20" s="1"/>
      <c r="Y20" s="1"/>
      <c r="Z20" s="1"/>
      <c r="AA20" s="1"/>
    </row>
    <row r="21" spans="1:27">
      <c r="A21" s="85">
        <v>7</v>
      </c>
      <c r="B21" s="62" t="s">
        <v>121</v>
      </c>
      <c r="C21" s="66">
        <f>12*0.25+2*0.7</f>
        <v>4.4000000000000004</v>
      </c>
      <c r="D21" s="69">
        <f t="shared" si="6"/>
        <v>0.3322426544510455</v>
      </c>
      <c r="E21" s="68">
        <f t="shared" si="1"/>
        <v>1196.0735560237638</v>
      </c>
      <c r="F21" s="66">
        <v>0.5</v>
      </c>
      <c r="G21" s="66" t="s">
        <v>131</v>
      </c>
      <c r="H21" s="66">
        <v>0.56999999999999995</v>
      </c>
      <c r="I21" s="66">
        <v>14.48</v>
      </c>
      <c r="J21" s="66">
        <f t="shared" si="2"/>
        <v>7.24</v>
      </c>
      <c r="K21" s="66">
        <v>2</v>
      </c>
      <c r="L21" s="68">
        <f t="shared" si="3"/>
        <v>32.165099999999995</v>
      </c>
      <c r="M21" s="66">
        <f t="shared" si="4"/>
        <v>39.405099999999997</v>
      </c>
      <c r="N21" s="66"/>
      <c r="O21" s="66"/>
      <c r="P21" s="66"/>
      <c r="Q21" s="67">
        <f t="shared" si="7"/>
        <v>39.405099999999997</v>
      </c>
      <c r="R21" s="84">
        <f t="shared" si="5"/>
        <v>7570.772899999999</v>
      </c>
      <c r="S21" s="1"/>
      <c r="T21" s="6"/>
      <c r="U21" s="1"/>
      <c r="V21" s="1"/>
      <c r="W21" s="1"/>
      <c r="X21" s="1"/>
      <c r="Y21" s="1"/>
      <c r="Z21" s="1"/>
      <c r="AA21" s="1"/>
    </row>
    <row r="22" spans="1:27">
      <c r="A22" s="85">
        <v>8</v>
      </c>
      <c r="B22" s="62" t="s">
        <v>122</v>
      </c>
      <c r="C22" s="66">
        <f>16*0.25+2*0.7</f>
        <v>5.4</v>
      </c>
      <c r="D22" s="69">
        <f t="shared" si="6"/>
        <v>0.37016850115866751</v>
      </c>
      <c r="E22" s="68">
        <f t="shared" si="1"/>
        <v>1332.6066041712031</v>
      </c>
      <c r="F22" s="66">
        <v>0.5</v>
      </c>
      <c r="G22" s="66" t="s">
        <v>131</v>
      </c>
      <c r="H22" s="66">
        <v>0.64</v>
      </c>
      <c r="I22" s="66">
        <v>17.53</v>
      </c>
      <c r="J22" s="66">
        <f t="shared" si="2"/>
        <v>8.7650000000000006</v>
      </c>
      <c r="K22" s="66">
        <v>2</v>
      </c>
      <c r="L22" s="68">
        <f t="shared" si="3"/>
        <v>40.550400000000003</v>
      </c>
      <c r="M22" s="66">
        <f t="shared" si="4"/>
        <v>49.315400000000004</v>
      </c>
      <c r="N22" s="66"/>
      <c r="O22" s="66"/>
      <c r="P22" s="66"/>
      <c r="Q22" s="67">
        <f t="shared" si="7"/>
        <v>49.315400000000004</v>
      </c>
      <c r="R22" s="84">
        <f t="shared" si="5"/>
        <v>7620.0882999999994</v>
      </c>
      <c r="S22" s="1"/>
      <c r="T22" s="6"/>
      <c r="U22" s="1"/>
      <c r="V22" s="1"/>
      <c r="W22" s="1"/>
      <c r="X22" s="1"/>
      <c r="Y22" s="1"/>
      <c r="Z22" s="1"/>
      <c r="AA22" s="1"/>
    </row>
    <row r="23" spans="1:27">
      <c r="A23" s="85">
        <v>9</v>
      </c>
      <c r="B23" s="62" t="s">
        <v>123</v>
      </c>
      <c r="C23" s="66">
        <f>17*0.25+4*0.7</f>
        <v>7.05</v>
      </c>
      <c r="D23" s="69">
        <f t="shared" ref="D23" si="8">IF(C23&gt;=1,0.15*C23^0.5+0.004*C23,0.15*C23)</f>
        <v>0.42647754142055261</v>
      </c>
      <c r="E23" s="68">
        <f t="shared" ref="E23" si="9">D23*3600</f>
        <v>1535.3191491139894</v>
      </c>
      <c r="F23" s="66">
        <v>5</v>
      </c>
      <c r="G23" s="66" t="s">
        <v>131</v>
      </c>
      <c r="H23" s="66">
        <v>0.73</v>
      </c>
      <c r="I23" s="66">
        <v>22.48</v>
      </c>
      <c r="J23" s="66">
        <f t="shared" ref="J23" si="10">I23*F23</f>
        <v>112.4</v>
      </c>
      <c r="K23" s="66">
        <v>2</v>
      </c>
      <c r="L23" s="68">
        <f t="shared" ref="L23" si="11">H23^2*49.5*K23</f>
        <v>52.757099999999994</v>
      </c>
      <c r="M23" s="66">
        <f t="shared" ref="M23" si="12">J23+L23</f>
        <v>165.15710000000001</v>
      </c>
      <c r="N23" s="66"/>
      <c r="O23" s="66"/>
      <c r="P23" s="66"/>
      <c r="Q23" s="67">
        <f t="shared" ref="Q23" si="13">M23+O23+P23*1000</f>
        <v>165.15710000000001</v>
      </c>
      <c r="R23" s="84">
        <f t="shared" ref="R23" si="14">Q23+R22</f>
        <v>7785.2453999999998</v>
      </c>
      <c r="S23" s="1"/>
      <c r="T23" s="6"/>
      <c r="U23" s="1"/>
      <c r="V23" s="1"/>
      <c r="W23" s="1"/>
      <c r="X23" s="1"/>
      <c r="Y23" s="1"/>
      <c r="Z23" s="1"/>
      <c r="AA23" s="1"/>
    </row>
    <row r="24" spans="1:27">
      <c r="A24" s="85">
        <v>10</v>
      </c>
      <c r="B24" s="62" t="s">
        <v>124</v>
      </c>
      <c r="C24" s="66">
        <f>19*0.25+4*0.7</f>
        <v>7.55</v>
      </c>
      <c r="D24" s="69">
        <f t="shared" ref="D24" si="15">IF(C24&gt;=1,0.15*C24^0.5+0.004*C24,0.15*C24)</f>
        <v>0.44235894992102259</v>
      </c>
      <c r="E24" s="68">
        <f t="shared" ref="E24" si="16">D24*3600</f>
        <v>1592.4922197156814</v>
      </c>
      <c r="F24" s="66">
        <v>0.5</v>
      </c>
      <c r="G24" s="66" t="s">
        <v>131</v>
      </c>
      <c r="H24" s="66">
        <v>0.76</v>
      </c>
      <c r="I24" s="66">
        <v>23.99</v>
      </c>
      <c r="J24" s="66">
        <f t="shared" ref="J24" si="17">I24*F24</f>
        <v>11.994999999999999</v>
      </c>
      <c r="K24" s="66">
        <v>2</v>
      </c>
      <c r="L24" s="68">
        <f t="shared" ref="L24" si="18">H24^2*49.5*K24</f>
        <v>57.182400000000001</v>
      </c>
      <c r="M24" s="66">
        <f t="shared" ref="M24" si="19">J24+L24</f>
        <v>69.177400000000006</v>
      </c>
      <c r="N24" s="66"/>
      <c r="O24" s="66"/>
      <c r="P24" s="66"/>
      <c r="Q24" s="67">
        <f t="shared" ref="Q24" si="20">M24+O24+P24*1000</f>
        <v>69.177400000000006</v>
      </c>
      <c r="R24" s="84">
        <f t="shared" ref="R24" si="21">Q24+R23</f>
        <v>7854.4227999999994</v>
      </c>
      <c r="S24" s="1"/>
      <c r="T24" s="6"/>
      <c r="U24" s="1"/>
      <c r="V24" s="1"/>
      <c r="W24" s="1"/>
      <c r="X24" s="1"/>
      <c r="Y24" s="1"/>
      <c r="Z24" s="1"/>
      <c r="AA24" s="1"/>
    </row>
    <row r="25" spans="1:27">
      <c r="A25" s="85">
        <v>11</v>
      </c>
      <c r="B25" s="62" t="s">
        <v>125</v>
      </c>
      <c r="C25" s="66">
        <f>22*0.25+4*0.7</f>
        <v>8.3000000000000007</v>
      </c>
      <c r="D25" s="69">
        <f t="shared" ref="D25" si="22">IF(C25&gt;=1,0.15*C25^0.5+0.004*C25,0.15*C25)</f>
        <v>0.465345808726638</v>
      </c>
      <c r="E25" s="68">
        <f t="shared" ref="E25" si="23">D25*3600</f>
        <v>1675.2449114158967</v>
      </c>
      <c r="F25" s="66">
        <v>4</v>
      </c>
      <c r="G25" s="66" t="s">
        <v>157</v>
      </c>
      <c r="H25" s="66">
        <v>0.8</v>
      </c>
      <c r="I25" s="66">
        <v>26.24</v>
      </c>
      <c r="J25" s="66">
        <f t="shared" ref="J25" si="24">I25*F25</f>
        <v>104.96</v>
      </c>
      <c r="K25" s="66">
        <v>2</v>
      </c>
      <c r="L25" s="68">
        <f t="shared" ref="L25" si="25">H25^2*49.5*K25</f>
        <v>63.360000000000014</v>
      </c>
      <c r="M25" s="66">
        <f t="shared" ref="M25" si="26">J25+L25</f>
        <v>168.32</v>
      </c>
      <c r="N25" s="66"/>
      <c r="O25" s="66"/>
      <c r="P25" s="66"/>
      <c r="Q25" s="67">
        <f t="shared" ref="Q25" si="27">M25+O25+P25*1000</f>
        <v>168.32</v>
      </c>
      <c r="R25" s="84">
        <f t="shared" ref="R25" si="28">Q25+R24</f>
        <v>8022.7427999999991</v>
      </c>
      <c r="S25" s="1"/>
      <c r="T25" s="6"/>
      <c r="U25" s="1"/>
      <c r="V25" s="1"/>
      <c r="W25" s="1"/>
      <c r="X25" s="1"/>
      <c r="Y25" s="1"/>
      <c r="Z25" s="1"/>
      <c r="AA25" s="1"/>
    </row>
    <row r="26" spans="1:27" ht="15.75" thickBot="1">
      <c r="A26" s="86">
        <v>12</v>
      </c>
      <c r="B26" s="87" t="s">
        <v>127</v>
      </c>
      <c r="C26" s="88">
        <f>29*0.25+4*0.7</f>
        <v>10.050000000000001</v>
      </c>
      <c r="D26" s="89">
        <f t="shared" ref="D26" si="29">IF(C26&gt;=1,0.15*C26^0.5+0.004*C26,0.15*C26)</f>
        <v>0.51572602452442073</v>
      </c>
      <c r="E26" s="90">
        <f t="shared" ref="E26" si="30">D26*3600</f>
        <v>1856.6136882879146</v>
      </c>
      <c r="F26" s="88">
        <v>2</v>
      </c>
      <c r="G26" s="88" t="s">
        <v>157</v>
      </c>
      <c r="H26" s="88">
        <v>0.89</v>
      </c>
      <c r="I26" s="88">
        <v>31.55</v>
      </c>
      <c r="J26" s="88">
        <f t="shared" ref="J26" si="31">I26*F26</f>
        <v>63.1</v>
      </c>
      <c r="K26" s="88">
        <v>4</v>
      </c>
      <c r="L26" s="90">
        <f t="shared" ref="L26" si="32">H26^2*49.5*K26</f>
        <v>156.83580000000001</v>
      </c>
      <c r="M26" s="88">
        <f t="shared" ref="M26" si="33">J26+L26</f>
        <v>219.9358</v>
      </c>
      <c r="N26" s="88"/>
      <c r="O26" s="88"/>
      <c r="P26" s="88"/>
      <c r="Q26" s="91">
        <f t="shared" ref="Q26" si="34">M26+O26+P26*1000</f>
        <v>219.9358</v>
      </c>
      <c r="R26" s="92">
        <f t="shared" ref="R26" si="35">Q26+R25</f>
        <v>8242.6785999999993</v>
      </c>
      <c r="S26" s="1"/>
      <c r="T26" s="6"/>
      <c r="U26" s="1"/>
      <c r="V26" s="1"/>
      <c r="W26" s="1"/>
      <c r="X26" s="1"/>
      <c r="Y26" s="1"/>
      <c r="Z26" s="1"/>
      <c r="AA26" s="1"/>
    </row>
    <row r="27" spans="1:27" ht="15.75" thickBot="1">
      <c r="A27" s="115"/>
      <c r="B27" s="116" t="s">
        <v>101</v>
      </c>
      <c r="C27" s="117"/>
      <c r="D27" s="117"/>
      <c r="E27" s="117"/>
      <c r="F27" s="117"/>
      <c r="G27" s="117"/>
      <c r="H27" s="117"/>
      <c r="I27" s="117"/>
      <c r="J27" s="117"/>
      <c r="K27" s="118"/>
      <c r="L27" s="117"/>
      <c r="M27" s="117"/>
      <c r="N27" s="117"/>
      <c r="O27" s="117"/>
      <c r="P27" s="117"/>
      <c r="Q27" s="119"/>
      <c r="R27" s="120"/>
      <c r="S27" s="1"/>
      <c r="T27" s="6"/>
      <c r="U27" s="1"/>
      <c r="V27" s="1"/>
      <c r="W27" s="1"/>
      <c r="X27" s="1"/>
      <c r="Y27" s="1"/>
      <c r="Z27" s="1"/>
      <c r="AA27" s="1"/>
    </row>
    <row r="28" spans="1:27">
      <c r="A28" s="79" t="s">
        <v>0</v>
      </c>
      <c r="B28" s="121" t="s">
        <v>1</v>
      </c>
      <c r="C28" s="80" t="s">
        <v>2</v>
      </c>
      <c r="D28" s="80" t="s">
        <v>3</v>
      </c>
      <c r="E28" s="80" t="s">
        <v>3</v>
      </c>
      <c r="F28" s="80" t="s">
        <v>4</v>
      </c>
      <c r="G28" s="80" t="s">
        <v>5</v>
      </c>
      <c r="H28" s="80" t="s">
        <v>6</v>
      </c>
      <c r="I28" s="80" t="s">
        <v>7</v>
      </c>
      <c r="J28" s="80" t="s">
        <v>8</v>
      </c>
      <c r="K28" s="80" t="s">
        <v>9</v>
      </c>
      <c r="L28" s="80" t="s">
        <v>10</v>
      </c>
      <c r="M28" s="80" t="s">
        <v>11</v>
      </c>
      <c r="N28" s="80" t="s">
        <v>12</v>
      </c>
      <c r="O28" s="80" t="s">
        <v>13</v>
      </c>
      <c r="P28" s="80" t="s">
        <v>14</v>
      </c>
      <c r="Q28" s="81" t="s">
        <v>15</v>
      </c>
      <c r="R28" s="82" t="s">
        <v>16</v>
      </c>
      <c r="S28" s="1"/>
      <c r="T28" s="6"/>
      <c r="U28" s="1"/>
      <c r="V28" s="1"/>
      <c r="W28" s="1"/>
      <c r="X28" s="1"/>
      <c r="Y28" s="1"/>
      <c r="Z28" s="1"/>
      <c r="AA28" s="1"/>
    </row>
    <row r="29" spans="1:27">
      <c r="A29" s="83" t="s">
        <v>17</v>
      </c>
      <c r="B29" s="62" t="s">
        <v>18</v>
      </c>
      <c r="C29" s="66" t="s">
        <v>19</v>
      </c>
      <c r="D29" s="66" t="s">
        <v>20</v>
      </c>
      <c r="E29" s="66" t="s">
        <v>21</v>
      </c>
      <c r="F29" s="66" t="s">
        <v>22</v>
      </c>
      <c r="G29" s="66" t="s">
        <v>23</v>
      </c>
      <c r="H29" s="66" t="s">
        <v>24</v>
      </c>
      <c r="I29" s="66" t="s">
        <v>25</v>
      </c>
      <c r="J29" s="66" t="s">
        <v>26</v>
      </c>
      <c r="K29" s="66"/>
      <c r="L29" s="66" t="s">
        <v>26</v>
      </c>
      <c r="M29" s="66" t="s">
        <v>26</v>
      </c>
      <c r="N29" s="66" t="s">
        <v>26</v>
      </c>
      <c r="O29" s="66" t="s">
        <v>27</v>
      </c>
      <c r="P29" s="66" t="s">
        <v>28</v>
      </c>
      <c r="Q29" s="67" t="s">
        <v>29</v>
      </c>
      <c r="R29" s="84" t="s">
        <v>26</v>
      </c>
      <c r="S29" s="1"/>
      <c r="T29" s="1"/>
      <c r="U29" s="1"/>
      <c r="V29" s="1"/>
      <c r="W29" s="1"/>
      <c r="X29" s="1"/>
      <c r="Y29" s="1"/>
      <c r="Z29" s="1"/>
      <c r="AA29" s="1"/>
    </row>
    <row r="30" spans="1:27">
      <c r="A30" s="85">
        <v>1</v>
      </c>
      <c r="B30" s="62" t="s">
        <v>32</v>
      </c>
      <c r="C30" s="66">
        <f>1*0.25</f>
        <v>0.25</v>
      </c>
      <c r="D30" s="69">
        <f t="shared" ref="D30:D31" si="36">IF(C30&gt;=1,0.15*C30^0.5+0.004*C30,0.15*C30)</f>
        <v>3.7499999999999999E-2</v>
      </c>
      <c r="E30" s="68">
        <f t="shared" ref="E30:E31" si="37">D30*3600</f>
        <v>135</v>
      </c>
      <c r="F30" s="66">
        <v>3</v>
      </c>
      <c r="G30" s="66" t="s">
        <v>156</v>
      </c>
      <c r="H30" s="66">
        <v>0.36</v>
      </c>
      <c r="I30" s="66">
        <v>18.98</v>
      </c>
      <c r="J30" s="66">
        <f t="shared" ref="J30:J31" si="38">I30*F30</f>
        <v>56.94</v>
      </c>
      <c r="K30" s="66">
        <v>2</v>
      </c>
      <c r="L30" s="68">
        <f t="shared" ref="L30:L31" si="39">H30^2*49.5*K30</f>
        <v>12.830399999999999</v>
      </c>
      <c r="M30" s="66">
        <f t="shared" ref="M30:M31" si="40">J30+L30</f>
        <v>69.770399999999995</v>
      </c>
      <c r="N30" s="66">
        <v>300</v>
      </c>
      <c r="O30" s="66">
        <v>3000</v>
      </c>
      <c r="P30" s="66">
        <v>3.7</v>
      </c>
      <c r="Q30" s="67">
        <f>M30+N30+O30+P30*1000</f>
        <v>7069.7703999999994</v>
      </c>
      <c r="R30" s="84">
        <f>Q30</f>
        <v>7069.7703999999994</v>
      </c>
      <c r="S30" s="1"/>
      <c r="T30" s="1"/>
      <c r="U30" s="1"/>
      <c r="V30" s="1"/>
      <c r="W30" s="1"/>
      <c r="X30" s="1"/>
      <c r="Y30" s="1"/>
      <c r="Z30" s="1"/>
      <c r="AA30" s="1"/>
    </row>
    <row r="31" spans="1:27" ht="15.75" thickBot="1">
      <c r="A31" s="86">
        <v>2</v>
      </c>
      <c r="B31" s="87" t="s">
        <v>102</v>
      </c>
      <c r="C31" s="88">
        <f>2*0.25</f>
        <v>0.5</v>
      </c>
      <c r="D31" s="89">
        <f t="shared" si="36"/>
        <v>7.4999999999999997E-2</v>
      </c>
      <c r="E31" s="90">
        <f t="shared" si="37"/>
        <v>270</v>
      </c>
      <c r="F31" s="88">
        <v>4</v>
      </c>
      <c r="G31" s="88" t="s">
        <v>159</v>
      </c>
      <c r="H31" s="88">
        <v>0.46</v>
      </c>
      <c r="I31" s="88">
        <v>22.06</v>
      </c>
      <c r="J31" s="88">
        <f t="shared" si="38"/>
        <v>88.24</v>
      </c>
      <c r="K31" s="88">
        <v>4</v>
      </c>
      <c r="L31" s="90">
        <f t="shared" si="39"/>
        <v>41.896799999999999</v>
      </c>
      <c r="M31" s="88">
        <f t="shared" si="40"/>
        <v>130.13679999999999</v>
      </c>
      <c r="N31" s="88"/>
      <c r="O31" s="88"/>
      <c r="P31" s="88"/>
      <c r="Q31" s="91">
        <f>M31+N31+O31+P31*1000</f>
        <v>130.13679999999999</v>
      </c>
      <c r="R31" s="92">
        <f>Q31+R30</f>
        <v>7199.9071999999996</v>
      </c>
      <c r="S31" s="1"/>
      <c r="T31" s="1"/>
      <c r="U31" s="1"/>
      <c r="V31" s="1"/>
      <c r="W31" s="1"/>
      <c r="X31" s="1"/>
      <c r="Y31" s="1"/>
      <c r="Z31" s="1"/>
      <c r="AA31" s="1"/>
    </row>
    <row r="32" spans="1:27">
      <c r="A32" s="130"/>
      <c r="B32" s="131"/>
      <c r="C32" s="117"/>
      <c r="D32" s="132"/>
      <c r="E32" s="133"/>
      <c r="F32" s="117"/>
      <c r="G32" s="117"/>
      <c r="H32" s="117"/>
      <c r="I32" s="117"/>
      <c r="J32" s="117"/>
      <c r="K32" s="117"/>
      <c r="L32" s="133"/>
      <c r="M32" s="117"/>
      <c r="N32" s="117"/>
      <c r="O32" s="117"/>
      <c r="P32" s="117"/>
      <c r="Q32" s="119"/>
      <c r="R32" s="120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 thickBot="1">
      <c r="A33" s="115"/>
      <c r="B33" s="116" t="s">
        <v>104</v>
      </c>
      <c r="C33" s="117"/>
      <c r="D33" s="117"/>
      <c r="E33" s="117"/>
      <c r="F33" s="117"/>
      <c r="G33" s="117"/>
      <c r="H33" s="117"/>
      <c r="I33" s="117"/>
      <c r="J33" s="117"/>
      <c r="K33" s="118"/>
      <c r="L33" s="117"/>
      <c r="M33" s="117"/>
      <c r="N33" s="117"/>
      <c r="O33" s="117"/>
      <c r="P33" s="117"/>
      <c r="Q33" s="119"/>
      <c r="R33" s="120"/>
      <c r="S33" s="1"/>
      <c r="T33" s="1"/>
      <c r="U33" s="1"/>
      <c r="V33" s="1"/>
      <c r="W33" s="1"/>
      <c r="X33" s="1"/>
      <c r="Y33" s="1"/>
      <c r="Z33" s="1"/>
      <c r="AA33" s="1"/>
    </row>
    <row r="34" spans="1:27" ht="13.5" customHeight="1">
      <c r="A34" s="79" t="s">
        <v>0</v>
      </c>
      <c r="B34" s="121" t="s">
        <v>1</v>
      </c>
      <c r="C34" s="80" t="s">
        <v>2</v>
      </c>
      <c r="D34" s="80" t="s">
        <v>3</v>
      </c>
      <c r="E34" s="80" t="s">
        <v>3</v>
      </c>
      <c r="F34" s="80" t="s">
        <v>4</v>
      </c>
      <c r="G34" s="80" t="s">
        <v>5</v>
      </c>
      <c r="H34" s="80" t="s">
        <v>6</v>
      </c>
      <c r="I34" s="80" t="s">
        <v>7</v>
      </c>
      <c r="J34" s="80" t="s">
        <v>8</v>
      </c>
      <c r="K34" s="80" t="s">
        <v>9</v>
      </c>
      <c r="L34" s="80" t="s">
        <v>10</v>
      </c>
      <c r="M34" s="80" t="s">
        <v>11</v>
      </c>
      <c r="N34" s="80" t="s">
        <v>12</v>
      </c>
      <c r="O34" s="80" t="s">
        <v>13</v>
      </c>
      <c r="P34" s="80" t="s">
        <v>14</v>
      </c>
      <c r="Q34" s="81" t="s">
        <v>15</v>
      </c>
      <c r="R34" s="82" t="s">
        <v>16</v>
      </c>
      <c r="S34" s="1"/>
      <c r="T34" s="1"/>
      <c r="U34" s="1"/>
      <c r="V34" s="1"/>
      <c r="W34" s="1"/>
      <c r="X34" s="43"/>
      <c r="Y34" s="1"/>
      <c r="Z34" s="1"/>
      <c r="AA34" s="1"/>
    </row>
    <row r="35" spans="1:27">
      <c r="A35" s="83" t="s">
        <v>17</v>
      </c>
      <c r="B35" s="62" t="s">
        <v>18</v>
      </c>
      <c r="C35" s="66" t="s">
        <v>19</v>
      </c>
      <c r="D35" s="66" t="s">
        <v>20</v>
      </c>
      <c r="E35" s="66" t="s">
        <v>21</v>
      </c>
      <c r="F35" s="66" t="s">
        <v>22</v>
      </c>
      <c r="G35" s="66" t="s">
        <v>23</v>
      </c>
      <c r="H35" s="66" t="s">
        <v>24</v>
      </c>
      <c r="I35" s="66" t="s">
        <v>25</v>
      </c>
      <c r="J35" s="66" t="s">
        <v>26</v>
      </c>
      <c r="K35" s="66"/>
      <c r="L35" s="66" t="s">
        <v>26</v>
      </c>
      <c r="M35" s="66" t="s">
        <v>26</v>
      </c>
      <c r="N35" s="66" t="s">
        <v>26</v>
      </c>
      <c r="O35" s="66" t="s">
        <v>27</v>
      </c>
      <c r="P35" s="66" t="s">
        <v>28</v>
      </c>
      <c r="Q35" s="67" t="s">
        <v>29</v>
      </c>
      <c r="R35" s="84" t="s">
        <v>26</v>
      </c>
      <c r="S35" s="1"/>
      <c r="T35" s="6"/>
      <c r="U35" s="1"/>
      <c r="V35" s="1"/>
      <c r="W35" s="1"/>
      <c r="X35" s="1"/>
      <c r="Y35" s="1"/>
      <c r="Z35" s="1"/>
      <c r="AA35" s="1"/>
    </row>
    <row r="36" spans="1:27">
      <c r="A36" s="85">
        <v>1</v>
      </c>
      <c r="B36" s="62" t="s">
        <v>32</v>
      </c>
      <c r="C36" s="66">
        <f>1*0.25</f>
        <v>0.25</v>
      </c>
      <c r="D36" s="69">
        <f t="shared" ref="D36:D38" si="41">IF(C36&gt;=1,0.15*C36^0.5+0.004*C36,0.15*C36)</f>
        <v>3.7499999999999999E-2</v>
      </c>
      <c r="E36" s="68">
        <f t="shared" ref="E36:E38" si="42">D36*3600</f>
        <v>135</v>
      </c>
      <c r="F36" s="66">
        <v>0.5</v>
      </c>
      <c r="G36" s="66" t="s">
        <v>156</v>
      </c>
      <c r="H36" s="66">
        <v>0.36</v>
      </c>
      <c r="I36" s="66">
        <v>18.98</v>
      </c>
      <c r="J36" s="66">
        <f t="shared" ref="J36:J38" si="43">I36*F36</f>
        <v>9.49</v>
      </c>
      <c r="K36" s="66">
        <v>2</v>
      </c>
      <c r="L36" s="68">
        <f t="shared" ref="L36:L38" si="44">H36^2*49.5*K36</f>
        <v>12.830399999999999</v>
      </c>
      <c r="M36" s="66">
        <f t="shared" ref="M36:M38" si="45">J36+L36</f>
        <v>22.320399999999999</v>
      </c>
      <c r="N36" s="66">
        <v>300</v>
      </c>
      <c r="O36" s="66">
        <v>3000</v>
      </c>
      <c r="P36" s="66">
        <v>3.7</v>
      </c>
      <c r="Q36" s="67">
        <f>M36+N36+O36+P36*1000</f>
        <v>7022.3204000000005</v>
      </c>
      <c r="R36" s="84">
        <f>Q36</f>
        <v>7022.3204000000005</v>
      </c>
      <c r="S36" s="1"/>
      <c r="T36" s="6"/>
      <c r="U36" s="1"/>
      <c r="V36" s="1"/>
      <c r="W36" s="1"/>
      <c r="X36" s="1"/>
      <c r="Y36" s="1"/>
      <c r="Z36" s="1"/>
      <c r="AA36" s="1"/>
    </row>
    <row r="37" spans="1:27" ht="13.5" customHeight="1">
      <c r="A37" s="85">
        <v>2</v>
      </c>
      <c r="B37" s="62" t="s">
        <v>102</v>
      </c>
      <c r="C37" s="66">
        <f>2*0.25</f>
        <v>0.5</v>
      </c>
      <c r="D37" s="69">
        <f t="shared" si="41"/>
        <v>7.4999999999999997E-2</v>
      </c>
      <c r="E37" s="68">
        <f t="shared" si="42"/>
        <v>270</v>
      </c>
      <c r="F37" s="66">
        <v>3</v>
      </c>
      <c r="G37" s="66" t="s">
        <v>159</v>
      </c>
      <c r="H37" s="66">
        <v>0.46</v>
      </c>
      <c r="I37" s="66">
        <v>22.06</v>
      </c>
      <c r="J37" s="66">
        <f t="shared" si="43"/>
        <v>66.179999999999993</v>
      </c>
      <c r="K37" s="66">
        <v>2</v>
      </c>
      <c r="L37" s="68">
        <f t="shared" si="44"/>
        <v>20.948399999999999</v>
      </c>
      <c r="M37" s="66">
        <f t="shared" si="45"/>
        <v>87.128399999999999</v>
      </c>
      <c r="N37" s="66"/>
      <c r="O37" s="66"/>
      <c r="P37" s="66"/>
      <c r="Q37" s="67">
        <f>M37+N37+O37+P37*1000</f>
        <v>87.128399999999999</v>
      </c>
      <c r="R37" s="84">
        <f>Q37+R36</f>
        <v>7109.4488000000001</v>
      </c>
      <c r="S37" s="1"/>
      <c r="T37" s="6"/>
      <c r="U37" s="1"/>
      <c r="V37" s="1"/>
      <c r="W37" s="1"/>
      <c r="X37" s="1"/>
      <c r="Y37" s="1"/>
      <c r="Z37" s="1"/>
      <c r="AA37" s="1"/>
    </row>
    <row r="38" spans="1:27" ht="15.75" thickBot="1">
      <c r="A38" s="86">
        <v>3</v>
      </c>
      <c r="B38" s="87" t="s">
        <v>103</v>
      </c>
      <c r="C38" s="88">
        <f>3*0.25</f>
        <v>0.75</v>
      </c>
      <c r="D38" s="89">
        <f t="shared" si="41"/>
        <v>0.11249999999999999</v>
      </c>
      <c r="E38" s="90">
        <f t="shared" si="42"/>
        <v>404.99999999999994</v>
      </c>
      <c r="F38" s="88">
        <v>4</v>
      </c>
      <c r="G38" s="88" t="s">
        <v>154</v>
      </c>
      <c r="H38" s="88">
        <v>0.69</v>
      </c>
      <c r="I38" s="88">
        <v>48.74</v>
      </c>
      <c r="J38" s="88">
        <f t="shared" si="43"/>
        <v>194.96</v>
      </c>
      <c r="K38" s="88">
        <v>4</v>
      </c>
      <c r="L38" s="90">
        <f t="shared" si="44"/>
        <v>94.26779999999998</v>
      </c>
      <c r="M38" s="88">
        <f t="shared" si="45"/>
        <v>289.2278</v>
      </c>
      <c r="N38" s="88"/>
      <c r="O38" s="88"/>
      <c r="P38" s="88"/>
      <c r="Q38" s="91">
        <f>M38+N38+O38+P38*1000</f>
        <v>289.2278</v>
      </c>
      <c r="R38" s="92">
        <f t="shared" ref="R38" si="46">Q38+R37</f>
        <v>7398.6765999999998</v>
      </c>
      <c r="S38" s="1"/>
      <c r="T38" s="6"/>
      <c r="U38" s="1"/>
      <c r="V38" s="1"/>
      <c r="W38" s="1"/>
      <c r="X38" s="1"/>
      <c r="Y38" s="1"/>
      <c r="Z38" s="1"/>
      <c r="AA38" s="1"/>
    </row>
    <row r="39" spans="1:27" ht="15.75" thickBot="1">
      <c r="A39" s="115"/>
      <c r="B39" s="116" t="s">
        <v>106</v>
      </c>
      <c r="C39" s="117"/>
      <c r="D39" s="117"/>
      <c r="E39" s="117"/>
      <c r="F39" s="117"/>
      <c r="G39" s="117"/>
      <c r="H39" s="117"/>
      <c r="I39" s="117"/>
      <c r="J39" s="117"/>
      <c r="K39" s="118"/>
      <c r="L39" s="117"/>
      <c r="M39" s="117"/>
      <c r="N39" s="117"/>
      <c r="O39" s="117"/>
      <c r="P39" s="117"/>
      <c r="Q39" s="119"/>
      <c r="R39" s="120"/>
      <c r="S39" s="1"/>
      <c r="T39" s="6"/>
      <c r="U39" s="1"/>
      <c r="V39" s="1"/>
      <c r="W39" s="1"/>
      <c r="X39" s="1"/>
      <c r="Y39" s="1"/>
      <c r="Z39" s="1"/>
      <c r="AA39" s="1"/>
    </row>
    <row r="40" spans="1:27">
      <c r="A40" s="79" t="s">
        <v>0</v>
      </c>
      <c r="B40" s="121" t="s">
        <v>1</v>
      </c>
      <c r="C40" s="80" t="s">
        <v>2</v>
      </c>
      <c r="D40" s="80" t="s">
        <v>3</v>
      </c>
      <c r="E40" s="80" t="s">
        <v>3</v>
      </c>
      <c r="F40" s="80" t="s">
        <v>4</v>
      </c>
      <c r="G40" s="80" t="s">
        <v>5</v>
      </c>
      <c r="H40" s="80" t="s">
        <v>6</v>
      </c>
      <c r="I40" s="80" t="s">
        <v>7</v>
      </c>
      <c r="J40" s="80" t="s">
        <v>8</v>
      </c>
      <c r="K40" s="80" t="s">
        <v>9</v>
      </c>
      <c r="L40" s="80" t="s">
        <v>10</v>
      </c>
      <c r="M40" s="80" t="s">
        <v>11</v>
      </c>
      <c r="N40" s="80" t="s">
        <v>12</v>
      </c>
      <c r="O40" s="80" t="s">
        <v>13</v>
      </c>
      <c r="P40" s="80" t="s">
        <v>14</v>
      </c>
      <c r="Q40" s="81" t="s">
        <v>15</v>
      </c>
      <c r="R40" s="82" t="s">
        <v>16</v>
      </c>
      <c r="S40" s="1"/>
      <c r="T40" s="6"/>
      <c r="U40" s="1"/>
      <c r="V40" s="1"/>
      <c r="W40" s="1"/>
      <c r="X40" s="1"/>
      <c r="Y40" s="1"/>
      <c r="Z40" s="1"/>
      <c r="AA40" s="1"/>
    </row>
    <row r="41" spans="1:27">
      <c r="A41" s="83" t="s">
        <v>17</v>
      </c>
      <c r="B41" s="62" t="s">
        <v>18</v>
      </c>
      <c r="C41" s="66" t="s">
        <v>19</v>
      </c>
      <c r="D41" s="66" t="s">
        <v>20</v>
      </c>
      <c r="E41" s="66" t="s">
        <v>21</v>
      </c>
      <c r="F41" s="66" t="s">
        <v>22</v>
      </c>
      <c r="G41" s="66" t="s">
        <v>23</v>
      </c>
      <c r="H41" s="66" t="s">
        <v>24</v>
      </c>
      <c r="I41" s="66" t="s">
        <v>25</v>
      </c>
      <c r="J41" s="66" t="s">
        <v>26</v>
      </c>
      <c r="K41" s="66"/>
      <c r="L41" s="66" t="s">
        <v>26</v>
      </c>
      <c r="M41" s="66" t="s">
        <v>26</v>
      </c>
      <c r="N41" s="66" t="s">
        <v>26</v>
      </c>
      <c r="O41" s="66" t="s">
        <v>27</v>
      </c>
      <c r="P41" s="66" t="s">
        <v>28</v>
      </c>
      <c r="Q41" s="67" t="s">
        <v>29</v>
      </c>
      <c r="R41" s="84" t="s">
        <v>26</v>
      </c>
      <c r="S41" s="1"/>
      <c r="T41" s="6"/>
      <c r="U41" s="1"/>
      <c r="V41" s="1"/>
      <c r="W41" s="1"/>
      <c r="X41" s="1"/>
      <c r="Y41" s="1"/>
      <c r="Z41" s="1"/>
      <c r="AA41" s="1"/>
    </row>
    <row r="42" spans="1:27">
      <c r="A42" s="85">
        <v>1</v>
      </c>
      <c r="B42" s="62" t="s">
        <v>32</v>
      </c>
      <c r="C42" s="66">
        <f>1*0.25</f>
        <v>0.25</v>
      </c>
      <c r="D42" s="69">
        <f t="shared" ref="D42:D44" si="47">IF(C42&gt;=1,0.15*C42^0.5+0.004*C42,0.15*C42)</f>
        <v>3.7499999999999999E-2</v>
      </c>
      <c r="E42" s="68">
        <f t="shared" ref="E42:E44" si="48">D42*3600</f>
        <v>135</v>
      </c>
      <c r="F42" s="66">
        <v>4</v>
      </c>
      <c r="G42" s="66" t="s">
        <v>156</v>
      </c>
      <c r="H42" s="66">
        <v>0.36</v>
      </c>
      <c r="I42" s="66">
        <v>18.98</v>
      </c>
      <c r="J42" s="66">
        <f t="shared" ref="J42:J44" si="49">I42*F42</f>
        <v>75.92</v>
      </c>
      <c r="K42" s="66">
        <v>2</v>
      </c>
      <c r="L42" s="68">
        <f t="shared" ref="L42:L44" si="50">H42^2*49.5*K42</f>
        <v>12.830399999999999</v>
      </c>
      <c r="M42" s="66">
        <f t="shared" ref="M42:M44" si="51">J42+L42</f>
        <v>88.750399999999999</v>
      </c>
      <c r="N42" s="66">
        <v>300</v>
      </c>
      <c r="O42" s="66">
        <v>3000</v>
      </c>
      <c r="P42" s="66">
        <v>3.7</v>
      </c>
      <c r="Q42" s="67">
        <f>M42+N42+O42+P42*1000</f>
        <v>7088.7503999999999</v>
      </c>
      <c r="R42" s="84">
        <f>Q42</f>
        <v>7088.7503999999999</v>
      </c>
      <c r="S42" s="1"/>
      <c r="T42" s="6"/>
      <c r="U42" s="1"/>
      <c r="V42" s="1"/>
      <c r="W42" s="1"/>
      <c r="X42" s="1"/>
      <c r="Y42" s="1"/>
      <c r="Z42" s="1"/>
      <c r="AA42" s="1"/>
    </row>
    <row r="43" spans="1:27">
      <c r="A43" s="85">
        <v>2</v>
      </c>
      <c r="B43" s="62" t="s">
        <v>128</v>
      </c>
      <c r="C43" s="66">
        <f>1*0.25+1*0.7</f>
        <v>0.95</v>
      </c>
      <c r="D43" s="69">
        <f t="shared" si="47"/>
        <v>0.14249999999999999</v>
      </c>
      <c r="E43" s="68">
        <f t="shared" si="48"/>
        <v>513</v>
      </c>
      <c r="F43" s="66">
        <v>0.5</v>
      </c>
      <c r="G43" s="66" t="s">
        <v>154</v>
      </c>
      <c r="H43" s="66">
        <v>0.56000000000000005</v>
      </c>
      <c r="I43" s="66">
        <v>25.12</v>
      </c>
      <c r="J43" s="66">
        <f t="shared" si="49"/>
        <v>12.56</v>
      </c>
      <c r="K43" s="66">
        <v>2</v>
      </c>
      <c r="L43" s="68">
        <f t="shared" si="50"/>
        <v>31.046400000000006</v>
      </c>
      <c r="M43" s="66">
        <f t="shared" si="51"/>
        <v>43.606400000000008</v>
      </c>
      <c r="N43" s="66"/>
      <c r="O43" s="66"/>
      <c r="P43" s="66"/>
      <c r="Q43" s="67">
        <f>M43+N43+O43+P43*1000</f>
        <v>43.606400000000008</v>
      </c>
      <c r="R43" s="84">
        <f>Q43+R42</f>
        <v>7132.3567999999996</v>
      </c>
      <c r="S43" s="1"/>
      <c r="T43" s="6"/>
      <c r="U43" s="1"/>
      <c r="V43" s="1"/>
      <c r="W43" s="1"/>
      <c r="X43" s="1"/>
      <c r="Y43" s="1"/>
      <c r="Z43" s="1"/>
      <c r="AA43" s="1"/>
    </row>
    <row r="44" spans="1:27" ht="15.75" thickBot="1">
      <c r="A44" s="86">
        <v>3</v>
      </c>
      <c r="B44" s="87" t="s">
        <v>129</v>
      </c>
      <c r="C44" s="88">
        <f>1*0.25+2*0.7</f>
        <v>1.65</v>
      </c>
      <c r="D44" s="89">
        <f t="shared" si="47"/>
        <v>0.19927848867997691</v>
      </c>
      <c r="E44" s="90">
        <f t="shared" si="48"/>
        <v>717.40255924791688</v>
      </c>
      <c r="F44" s="88">
        <v>1</v>
      </c>
      <c r="G44" s="88" t="s">
        <v>155</v>
      </c>
      <c r="H44" s="88">
        <v>0.78</v>
      </c>
      <c r="I44" s="88">
        <v>45.89</v>
      </c>
      <c r="J44" s="88">
        <f t="shared" si="49"/>
        <v>45.89</v>
      </c>
      <c r="K44" s="88">
        <v>4</v>
      </c>
      <c r="L44" s="90">
        <f t="shared" si="50"/>
        <v>120.46320000000001</v>
      </c>
      <c r="M44" s="88">
        <f t="shared" si="51"/>
        <v>166.35320000000002</v>
      </c>
      <c r="N44" s="88"/>
      <c r="O44" s="88"/>
      <c r="P44" s="88"/>
      <c r="Q44" s="91">
        <f>M44+N44+O44+P44*1000</f>
        <v>166.35320000000002</v>
      </c>
      <c r="R44" s="92">
        <f t="shared" ref="R44" si="52">Q44+R43</f>
        <v>7298.7099999999991</v>
      </c>
      <c r="S44" s="1"/>
      <c r="T44" s="6"/>
      <c r="U44" s="1"/>
      <c r="V44" s="1"/>
      <c r="W44" s="1"/>
      <c r="X44" s="1"/>
      <c r="Y44" s="1"/>
      <c r="Z44" s="1"/>
      <c r="AA44" s="1"/>
    </row>
    <row r="45" spans="1:27" ht="15.75" thickBot="1">
      <c r="A45" s="115"/>
      <c r="B45" s="116" t="s">
        <v>112</v>
      </c>
      <c r="C45" s="117"/>
      <c r="D45" s="117"/>
      <c r="E45" s="117"/>
      <c r="F45" s="117"/>
      <c r="G45" s="117"/>
      <c r="H45" s="117"/>
      <c r="I45" s="117"/>
      <c r="J45" s="117"/>
      <c r="K45" s="118"/>
      <c r="L45" s="117"/>
      <c r="M45" s="117"/>
      <c r="N45" s="117"/>
      <c r="O45" s="117"/>
      <c r="P45" s="117"/>
      <c r="Q45" s="119"/>
      <c r="R45" s="120"/>
      <c r="S45" s="1"/>
      <c r="T45" s="6"/>
      <c r="U45" s="1"/>
      <c r="V45" s="1"/>
      <c r="W45" s="1"/>
      <c r="X45" s="1"/>
      <c r="Y45" s="1"/>
      <c r="Z45" s="1"/>
      <c r="AA45" s="1"/>
    </row>
    <row r="46" spans="1:27">
      <c r="A46" s="79" t="s">
        <v>0</v>
      </c>
      <c r="B46" s="121" t="s">
        <v>1</v>
      </c>
      <c r="C46" s="80" t="s">
        <v>2</v>
      </c>
      <c r="D46" s="80" t="s">
        <v>3</v>
      </c>
      <c r="E46" s="80" t="s">
        <v>3</v>
      </c>
      <c r="F46" s="80" t="s">
        <v>4</v>
      </c>
      <c r="G46" s="80" t="s">
        <v>5</v>
      </c>
      <c r="H46" s="80" t="s">
        <v>6</v>
      </c>
      <c r="I46" s="80" t="s">
        <v>7</v>
      </c>
      <c r="J46" s="80" t="s">
        <v>8</v>
      </c>
      <c r="K46" s="80" t="s">
        <v>9</v>
      </c>
      <c r="L46" s="80" t="s">
        <v>10</v>
      </c>
      <c r="M46" s="80" t="s">
        <v>11</v>
      </c>
      <c r="N46" s="80" t="s">
        <v>12</v>
      </c>
      <c r="O46" s="80" t="s">
        <v>13</v>
      </c>
      <c r="P46" s="80" t="s">
        <v>14</v>
      </c>
      <c r="Q46" s="81" t="s">
        <v>15</v>
      </c>
      <c r="R46" s="82" t="s">
        <v>16</v>
      </c>
      <c r="S46" s="1"/>
      <c r="T46" s="6"/>
      <c r="U46" s="1"/>
      <c r="V46" s="1"/>
      <c r="W46" s="1"/>
      <c r="X46" s="1"/>
      <c r="Y46" s="1"/>
      <c r="Z46" s="1"/>
      <c r="AA46" s="1"/>
    </row>
    <row r="47" spans="1:27">
      <c r="A47" s="83" t="s">
        <v>17</v>
      </c>
      <c r="B47" s="62" t="s">
        <v>18</v>
      </c>
      <c r="C47" s="66" t="s">
        <v>19</v>
      </c>
      <c r="D47" s="66" t="s">
        <v>20</v>
      </c>
      <c r="E47" s="66" t="s">
        <v>21</v>
      </c>
      <c r="F47" s="66" t="s">
        <v>22</v>
      </c>
      <c r="G47" s="66" t="s">
        <v>23</v>
      </c>
      <c r="H47" s="66" t="s">
        <v>24</v>
      </c>
      <c r="I47" s="66" t="s">
        <v>25</v>
      </c>
      <c r="J47" s="66" t="s">
        <v>26</v>
      </c>
      <c r="K47" s="66"/>
      <c r="L47" s="66" t="s">
        <v>26</v>
      </c>
      <c r="M47" s="66" t="s">
        <v>26</v>
      </c>
      <c r="N47" s="66" t="s">
        <v>26</v>
      </c>
      <c r="O47" s="66" t="s">
        <v>27</v>
      </c>
      <c r="P47" s="66" t="s">
        <v>28</v>
      </c>
      <c r="Q47" s="67" t="s">
        <v>29</v>
      </c>
      <c r="R47" s="84" t="s">
        <v>26</v>
      </c>
      <c r="S47" s="1"/>
      <c r="T47" s="6"/>
      <c r="U47" s="1"/>
      <c r="V47" s="1"/>
      <c r="W47" s="1"/>
      <c r="X47" s="1"/>
      <c r="Y47" s="1"/>
      <c r="Z47" s="1"/>
      <c r="AA47" s="1"/>
    </row>
    <row r="48" spans="1:27">
      <c r="A48" s="85">
        <v>1</v>
      </c>
      <c r="B48" s="62" t="s">
        <v>32</v>
      </c>
      <c r="C48" s="66">
        <f>1*0.25</f>
        <v>0.25</v>
      </c>
      <c r="D48" s="69">
        <f t="shared" ref="D48:D49" si="53">IF(C48&gt;=1,0.15*C48^0.5+0.004*C48,0.15*C48)</f>
        <v>3.7499999999999999E-2</v>
      </c>
      <c r="E48" s="68">
        <f t="shared" ref="E48:E49" si="54">D48*3600</f>
        <v>135</v>
      </c>
      <c r="F48" s="66">
        <v>3</v>
      </c>
      <c r="G48" s="66" t="s">
        <v>156</v>
      </c>
      <c r="H48" s="66">
        <v>0.36</v>
      </c>
      <c r="I48" s="66">
        <v>18.98</v>
      </c>
      <c r="J48" s="66">
        <f t="shared" ref="J48:J49" si="55">I48*F48</f>
        <v>56.94</v>
      </c>
      <c r="K48" s="66">
        <v>2</v>
      </c>
      <c r="L48" s="68">
        <f t="shared" ref="L48:L49" si="56">H48^2*49.5*K48</f>
        <v>12.830399999999999</v>
      </c>
      <c r="M48" s="66">
        <f t="shared" ref="M48:M49" si="57">J48+L48</f>
        <v>69.770399999999995</v>
      </c>
      <c r="N48" s="66">
        <v>300</v>
      </c>
      <c r="O48" s="66">
        <v>3000</v>
      </c>
      <c r="P48" s="66">
        <v>3.7</v>
      </c>
      <c r="Q48" s="67">
        <f>M48+N48+O48+P48*1000</f>
        <v>7069.7703999999994</v>
      </c>
      <c r="R48" s="84">
        <f>Q48</f>
        <v>7069.7703999999994</v>
      </c>
      <c r="S48" s="1"/>
      <c r="T48" s="6"/>
      <c r="U48" s="1"/>
      <c r="V48" s="1"/>
      <c r="W48" s="1"/>
      <c r="X48" s="1"/>
      <c r="Y48" s="1"/>
      <c r="Z48" s="1"/>
      <c r="AA48" s="1"/>
    </row>
    <row r="49" spans="1:27" ht="15.75" thickBot="1">
      <c r="A49" s="86">
        <v>2</v>
      </c>
      <c r="B49" s="87" t="s">
        <v>102</v>
      </c>
      <c r="C49" s="88">
        <f>2*0.25</f>
        <v>0.5</v>
      </c>
      <c r="D49" s="89">
        <f t="shared" si="53"/>
        <v>7.4999999999999997E-2</v>
      </c>
      <c r="E49" s="90">
        <f t="shared" si="54"/>
        <v>270</v>
      </c>
      <c r="F49" s="88">
        <v>4</v>
      </c>
      <c r="G49" s="88" t="s">
        <v>154</v>
      </c>
      <c r="H49" s="66">
        <v>0.46</v>
      </c>
      <c r="I49" s="66">
        <v>22.06</v>
      </c>
      <c r="J49" s="88">
        <f t="shared" si="55"/>
        <v>88.24</v>
      </c>
      <c r="K49" s="88">
        <v>4</v>
      </c>
      <c r="L49" s="90">
        <f t="shared" si="56"/>
        <v>41.896799999999999</v>
      </c>
      <c r="M49" s="88">
        <f t="shared" si="57"/>
        <v>130.13679999999999</v>
      </c>
      <c r="N49" s="88"/>
      <c r="O49" s="88"/>
      <c r="P49" s="88"/>
      <c r="Q49" s="91">
        <f>M49+N49+O49+P49*1000</f>
        <v>130.13679999999999</v>
      </c>
      <c r="R49" s="92">
        <f>Q49+R48</f>
        <v>7199.9071999999996</v>
      </c>
      <c r="S49" s="1"/>
      <c r="T49" s="6"/>
      <c r="U49" s="1"/>
      <c r="V49" s="1"/>
      <c r="W49" s="1"/>
      <c r="X49" s="1"/>
      <c r="Y49" s="1"/>
      <c r="Z49" s="1"/>
      <c r="AA49" s="1"/>
    </row>
    <row r="50" spans="1:27" ht="15.75" thickBot="1">
      <c r="A50" s="115"/>
      <c r="B50" s="116" t="s">
        <v>113</v>
      </c>
      <c r="C50" s="117"/>
      <c r="D50" s="117"/>
      <c r="E50" s="117"/>
      <c r="F50" s="117"/>
      <c r="G50" s="117"/>
      <c r="H50" s="117"/>
      <c r="I50" s="117"/>
      <c r="J50" s="117"/>
      <c r="K50" s="118"/>
      <c r="L50" s="117"/>
      <c r="M50" s="117"/>
      <c r="N50" s="117"/>
      <c r="O50" s="117"/>
      <c r="P50" s="117"/>
      <c r="Q50" s="119"/>
      <c r="R50" s="120"/>
      <c r="S50" s="1"/>
      <c r="T50" s="6"/>
      <c r="U50" s="1"/>
      <c r="V50" s="1"/>
      <c r="W50" s="1"/>
      <c r="X50" s="1"/>
      <c r="Y50" s="1"/>
      <c r="Z50" s="1"/>
      <c r="AA50" s="1"/>
    </row>
    <row r="51" spans="1:27">
      <c r="A51" s="79" t="s">
        <v>0</v>
      </c>
      <c r="B51" s="121" t="s">
        <v>1</v>
      </c>
      <c r="C51" s="80" t="s">
        <v>2</v>
      </c>
      <c r="D51" s="80" t="s">
        <v>3</v>
      </c>
      <c r="E51" s="80" t="s">
        <v>3</v>
      </c>
      <c r="F51" s="80" t="s">
        <v>4</v>
      </c>
      <c r="G51" s="80" t="s">
        <v>5</v>
      </c>
      <c r="H51" s="80" t="s">
        <v>6</v>
      </c>
      <c r="I51" s="80" t="s">
        <v>7</v>
      </c>
      <c r="J51" s="80" t="s">
        <v>8</v>
      </c>
      <c r="K51" s="80" t="s">
        <v>9</v>
      </c>
      <c r="L51" s="80" t="s">
        <v>10</v>
      </c>
      <c r="M51" s="80" t="s">
        <v>11</v>
      </c>
      <c r="N51" s="80" t="s">
        <v>12</v>
      </c>
      <c r="O51" s="80" t="s">
        <v>13</v>
      </c>
      <c r="P51" s="80" t="s">
        <v>14</v>
      </c>
      <c r="Q51" s="81" t="s">
        <v>15</v>
      </c>
      <c r="R51" s="82" t="s">
        <v>16</v>
      </c>
      <c r="S51" s="1"/>
      <c r="T51" s="6"/>
      <c r="U51" s="1"/>
      <c r="V51" s="1"/>
      <c r="W51" s="1"/>
      <c r="X51" s="1"/>
      <c r="Y51" s="1"/>
      <c r="Z51" s="1"/>
      <c r="AA51" s="1"/>
    </row>
    <row r="52" spans="1:27">
      <c r="A52" s="83" t="s">
        <v>17</v>
      </c>
      <c r="B52" s="62" t="s">
        <v>18</v>
      </c>
      <c r="C52" s="66" t="s">
        <v>19</v>
      </c>
      <c r="D52" s="66" t="s">
        <v>20</v>
      </c>
      <c r="E52" s="66" t="s">
        <v>21</v>
      </c>
      <c r="F52" s="66" t="s">
        <v>22</v>
      </c>
      <c r="G52" s="66" t="s">
        <v>23</v>
      </c>
      <c r="H52" s="66" t="s">
        <v>24</v>
      </c>
      <c r="I52" s="66" t="s">
        <v>25</v>
      </c>
      <c r="J52" s="66" t="s">
        <v>26</v>
      </c>
      <c r="K52" s="66"/>
      <c r="L52" s="66" t="s">
        <v>26</v>
      </c>
      <c r="M52" s="66" t="s">
        <v>26</v>
      </c>
      <c r="N52" s="66" t="s">
        <v>26</v>
      </c>
      <c r="O52" s="66" t="s">
        <v>27</v>
      </c>
      <c r="P52" s="66" t="s">
        <v>28</v>
      </c>
      <c r="Q52" s="67" t="s">
        <v>29</v>
      </c>
      <c r="R52" s="84" t="s">
        <v>26</v>
      </c>
      <c r="S52" s="1"/>
      <c r="T52" s="6"/>
      <c r="U52" s="1"/>
      <c r="V52" s="1"/>
      <c r="W52" s="1"/>
      <c r="X52" s="1"/>
      <c r="Y52" s="1"/>
      <c r="Z52" s="1"/>
      <c r="AA52" s="1"/>
    </row>
    <row r="53" spans="1:27">
      <c r="A53" s="85">
        <v>1</v>
      </c>
      <c r="B53" s="62" t="s">
        <v>32</v>
      </c>
      <c r="C53" s="66">
        <f>1*0.25</f>
        <v>0.25</v>
      </c>
      <c r="D53" s="69">
        <f t="shared" ref="D53:D55" si="58">IF(C53&gt;=1,0.15*C53^0.5+0.004*C53,0.15*C53)</f>
        <v>3.7499999999999999E-2</v>
      </c>
      <c r="E53" s="68">
        <f t="shared" ref="E53:E56" si="59">D53*3600</f>
        <v>135</v>
      </c>
      <c r="F53" s="66">
        <v>0.5</v>
      </c>
      <c r="G53" s="66" t="s">
        <v>156</v>
      </c>
      <c r="H53" s="66">
        <v>0.36</v>
      </c>
      <c r="I53" s="66">
        <v>18.98</v>
      </c>
      <c r="J53" s="66">
        <f t="shared" ref="J53:J56" si="60">I53*F53</f>
        <v>9.49</v>
      </c>
      <c r="K53" s="66">
        <v>2</v>
      </c>
      <c r="L53" s="68">
        <f t="shared" ref="L53:L56" si="61">H53^2*49.5*K53</f>
        <v>12.830399999999999</v>
      </c>
      <c r="M53" s="66">
        <f t="shared" ref="M53:M56" si="62">J53+L53</f>
        <v>22.320399999999999</v>
      </c>
      <c r="N53" s="66">
        <v>300</v>
      </c>
      <c r="O53" s="66">
        <v>3000</v>
      </c>
      <c r="P53" s="66">
        <v>3.7</v>
      </c>
      <c r="Q53" s="67">
        <f>M53+N53+O53+P53*1000</f>
        <v>7022.3204000000005</v>
      </c>
      <c r="R53" s="84">
        <f>Q53</f>
        <v>7022.3204000000005</v>
      </c>
      <c r="S53" s="1"/>
      <c r="T53" s="6"/>
      <c r="U53" s="1"/>
      <c r="V53" s="1"/>
      <c r="W53" s="1"/>
      <c r="X53" s="1"/>
      <c r="Y53" s="1"/>
      <c r="Z53" s="1"/>
      <c r="AA53" s="1"/>
    </row>
    <row r="54" spans="1:27">
      <c r="A54" s="85">
        <v>2</v>
      </c>
      <c r="B54" s="62" t="s">
        <v>102</v>
      </c>
      <c r="C54" s="66">
        <f>2*0.25</f>
        <v>0.5</v>
      </c>
      <c r="D54" s="69">
        <f t="shared" si="58"/>
        <v>7.4999999999999997E-2</v>
      </c>
      <c r="E54" s="68">
        <f t="shared" si="59"/>
        <v>270</v>
      </c>
      <c r="F54" s="66">
        <v>0.5</v>
      </c>
      <c r="G54" s="66" t="s">
        <v>154</v>
      </c>
      <c r="H54" s="66">
        <v>0.46</v>
      </c>
      <c r="I54" s="66">
        <v>22.06</v>
      </c>
      <c r="J54" s="66">
        <f t="shared" si="60"/>
        <v>11.03</v>
      </c>
      <c r="K54" s="66">
        <v>2</v>
      </c>
      <c r="L54" s="68">
        <f t="shared" si="61"/>
        <v>20.948399999999999</v>
      </c>
      <c r="M54" s="66">
        <f t="shared" si="62"/>
        <v>31.978400000000001</v>
      </c>
      <c r="N54" s="66"/>
      <c r="O54" s="66"/>
      <c r="P54" s="66"/>
      <c r="Q54" s="67">
        <f>M54+N54+O54+P54*1000</f>
        <v>31.978400000000001</v>
      </c>
      <c r="R54" s="84">
        <f>Q54+R53</f>
        <v>7054.2988000000005</v>
      </c>
      <c r="S54" s="1"/>
      <c r="T54" s="6"/>
      <c r="U54" s="1"/>
      <c r="V54" s="1"/>
      <c r="W54" s="1"/>
      <c r="X54" s="1"/>
      <c r="Y54" s="1"/>
      <c r="Z54" s="1"/>
      <c r="AA54" s="1"/>
    </row>
    <row r="55" spans="1:27">
      <c r="A55" s="85">
        <v>3</v>
      </c>
      <c r="B55" s="62" t="s">
        <v>103</v>
      </c>
      <c r="C55" s="66">
        <f>3*0.25</f>
        <v>0.75</v>
      </c>
      <c r="D55" s="69">
        <f t="shared" si="58"/>
        <v>0.11249999999999999</v>
      </c>
      <c r="E55" s="68">
        <f t="shared" si="59"/>
        <v>404.99999999999994</v>
      </c>
      <c r="F55" s="66">
        <v>2</v>
      </c>
      <c r="G55" s="66" t="s">
        <v>154</v>
      </c>
      <c r="H55" s="66">
        <v>0.69</v>
      </c>
      <c r="I55" s="66">
        <v>48.74</v>
      </c>
      <c r="J55" s="66">
        <f t="shared" si="60"/>
        <v>97.48</v>
      </c>
      <c r="K55" s="66">
        <v>2</v>
      </c>
      <c r="L55" s="68">
        <f t="shared" si="61"/>
        <v>47.13389999999999</v>
      </c>
      <c r="M55" s="66">
        <f t="shared" si="62"/>
        <v>144.6139</v>
      </c>
      <c r="N55" s="66"/>
      <c r="O55" s="66"/>
      <c r="P55" s="66"/>
      <c r="Q55" s="67">
        <f>M55+N55+O55+P55*1000</f>
        <v>144.6139</v>
      </c>
      <c r="R55" s="84">
        <f t="shared" ref="R55:R56" si="63">Q55+R54</f>
        <v>7198.9127000000008</v>
      </c>
      <c r="S55" s="1"/>
      <c r="T55" s="6"/>
      <c r="U55" s="1"/>
      <c r="V55" s="1"/>
      <c r="W55" s="1"/>
      <c r="X55" s="1"/>
      <c r="Y55" s="1"/>
      <c r="Z55" s="1"/>
      <c r="AA55" s="1"/>
    </row>
    <row r="56" spans="1:27" ht="15.75" thickBot="1">
      <c r="A56" s="86">
        <v>4</v>
      </c>
      <c r="B56" s="87" t="s">
        <v>105</v>
      </c>
      <c r="C56" s="88">
        <f>4*0.25</f>
        <v>1</v>
      </c>
      <c r="D56" s="89">
        <f>IF(C56&gt;=1,0.15*C56^0.5+0.004*C56,0.15*C56)</f>
        <v>0.154</v>
      </c>
      <c r="E56" s="90">
        <f t="shared" si="59"/>
        <v>554.4</v>
      </c>
      <c r="F56" s="88">
        <v>4</v>
      </c>
      <c r="G56" s="88" t="s">
        <v>155</v>
      </c>
      <c r="H56" s="88">
        <v>0.61</v>
      </c>
      <c r="I56" s="88">
        <v>28.74</v>
      </c>
      <c r="J56" s="88">
        <f t="shared" si="60"/>
        <v>114.96</v>
      </c>
      <c r="K56" s="88">
        <v>4</v>
      </c>
      <c r="L56" s="90">
        <f t="shared" si="61"/>
        <v>73.675799999999995</v>
      </c>
      <c r="M56" s="88">
        <f t="shared" si="62"/>
        <v>188.63579999999999</v>
      </c>
      <c r="N56" s="88"/>
      <c r="O56" s="88"/>
      <c r="P56" s="88"/>
      <c r="Q56" s="91">
        <f>M56+N56+O56+P56*1000</f>
        <v>188.63579999999999</v>
      </c>
      <c r="R56" s="92">
        <f t="shared" si="63"/>
        <v>7387.5485000000008</v>
      </c>
      <c r="S56" s="1"/>
      <c r="T56" s="6"/>
      <c r="U56" s="1"/>
      <c r="V56" s="1"/>
      <c r="W56" s="1"/>
      <c r="X56" s="1"/>
      <c r="Y56" s="1"/>
      <c r="Z56" s="1"/>
      <c r="AA56" s="1"/>
    </row>
    <row r="57" spans="1:27" ht="15.75" thickBot="1">
      <c r="A57" s="115"/>
      <c r="B57" s="116" t="s">
        <v>114</v>
      </c>
      <c r="C57" s="117"/>
      <c r="D57" s="117"/>
      <c r="E57" s="117"/>
      <c r="F57" s="117"/>
      <c r="G57" s="117"/>
      <c r="H57" s="117"/>
      <c r="I57" s="117"/>
      <c r="J57" s="117"/>
      <c r="K57" s="118"/>
      <c r="L57" s="117"/>
      <c r="M57" s="117"/>
      <c r="N57" s="117"/>
      <c r="O57" s="117"/>
      <c r="P57" s="117"/>
      <c r="Q57" s="119"/>
      <c r="R57" s="120"/>
      <c r="S57" s="1"/>
      <c r="T57" s="6"/>
      <c r="U57" s="1"/>
      <c r="V57" s="1"/>
      <c r="W57" s="1"/>
      <c r="X57" s="1"/>
      <c r="Y57" s="1"/>
      <c r="Z57" s="1"/>
      <c r="AA57" s="1"/>
    </row>
    <row r="58" spans="1:27">
      <c r="A58" s="79" t="s">
        <v>0</v>
      </c>
      <c r="B58" s="121" t="s">
        <v>1</v>
      </c>
      <c r="C58" s="80" t="s">
        <v>2</v>
      </c>
      <c r="D58" s="80" t="s">
        <v>3</v>
      </c>
      <c r="E58" s="80" t="s">
        <v>3</v>
      </c>
      <c r="F58" s="80" t="s">
        <v>4</v>
      </c>
      <c r="G58" s="80" t="s">
        <v>5</v>
      </c>
      <c r="H58" s="80" t="s">
        <v>6</v>
      </c>
      <c r="I58" s="80" t="s">
        <v>7</v>
      </c>
      <c r="J58" s="80" t="s">
        <v>8</v>
      </c>
      <c r="K58" s="80" t="s">
        <v>9</v>
      </c>
      <c r="L58" s="80" t="s">
        <v>10</v>
      </c>
      <c r="M58" s="80" t="s">
        <v>11</v>
      </c>
      <c r="N58" s="80" t="s">
        <v>12</v>
      </c>
      <c r="O58" s="80" t="s">
        <v>13</v>
      </c>
      <c r="P58" s="80" t="s">
        <v>14</v>
      </c>
      <c r="Q58" s="81" t="s">
        <v>15</v>
      </c>
      <c r="R58" s="82" t="s">
        <v>16</v>
      </c>
      <c r="S58" s="1"/>
      <c r="T58" s="6"/>
      <c r="U58" s="1"/>
      <c r="V58" s="1"/>
      <c r="W58" s="1"/>
      <c r="X58" s="1"/>
      <c r="Y58" s="1"/>
      <c r="Z58" s="1"/>
      <c r="AA58" s="1"/>
    </row>
    <row r="59" spans="1:27">
      <c r="A59" s="83" t="s">
        <v>17</v>
      </c>
      <c r="B59" s="62" t="s">
        <v>18</v>
      </c>
      <c r="C59" s="66" t="s">
        <v>19</v>
      </c>
      <c r="D59" s="66" t="s">
        <v>20</v>
      </c>
      <c r="E59" s="66" t="s">
        <v>21</v>
      </c>
      <c r="F59" s="66" t="s">
        <v>22</v>
      </c>
      <c r="G59" s="66" t="s">
        <v>23</v>
      </c>
      <c r="H59" s="66" t="s">
        <v>24</v>
      </c>
      <c r="I59" s="66" t="s">
        <v>25</v>
      </c>
      <c r="J59" s="66" t="s">
        <v>26</v>
      </c>
      <c r="K59" s="66"/>
      <c r="L59" s="66" t="s">
        <v>26</v>
      </c>
      <c r="M59" s="66" t="s">
        <v>26</v>
      </c>
      <c r="N59" s="66" t="s">
        <v>26</v>
      </c>
      <c r="O59" s="66" t="s">
        <v>27</v>
      </c>
      <c r="P59" s="66" t="s">
        <v>28</v>
      </c>
      <c r="Q59" s="67" t="s">
        <v>29</v>
      </c>
      <c r="R59" s="84" t="s">
        <v>26</v>
      </c>
      <c r="S59" s="1"/>
      <c r="T59" s="6"/>
      <c r="U59" s="1"/>
      <c r="V59" s="1"/>
      <c r="W59" s="1"/>
      <c r="X59" s="1"/>
      <c r="Y59" s="1"/>
      <c r="Z59" s="1"/>
      <c r="AA59" s="1"/>
    </row>
    <row r="60" spans="1:27">
      <c r="A60" s="85">
        <v>1</v>
      </c>
      <c r="B60" s="62" t="s">
        <v>32</v>
      </c>
      <c r="C60" s="66">
        <f>1*0.25</f>
        <v>0.25</v>
      </c>
      <c r="D60" s="69">
        <f t="shared" ref="D60:D62" si="64">IF(C60&gt;=1,0.15*C60^0.5+0.004*C60,0.15*C60)</f>
        <v>3.7499999999999999E-2</v>
      </c>
      <c r="E60" s="68">
        <f t="shared" ref="E60:E62" si="65">D60*3600</f>
        <v>135</v>
      </c>
      <c r="F60" s="66">
        <v>4</v>
      </c>
      <c r="G60" s="66" t="s">
        <v>156</v>
      </c>
      <c r="H60" s="66">
        <v>0.36</v>
      </c>
      <c r="I60" s="66">
        <v>18.98</v>
      </c>
      <c r="J60" s="66">
        <f t="shared" ref="J60:J62" si="66">I60*F60</f>
        <v>75.92</v>
      </c>
      <c r="K60" s="66">
        <v>2</v>
      </c>
      <c r="L60" s="68">
        <f t="shared" ref="L60:L62" si="67">H60^2*49.5*K60</f>
        <v>12.830399999999999</v>
      </c>
      <c r="M60" s="66">
        <f t="shared" ref="M60:M62" si="68">J60+L60</f>
        <v>88.750399999999999</v>
      </c>
      <c r="N60" s="66">
        <v>300</v>
      </c>
      <c r="O60" s="66">
        <v>3000</v>
      </c>
      <c r="P60" s="66">
        <v>3.7</v>
      </c>
      <c r="Q60" s="67">
        <f>M60+N60+O60+P60*1000</f>
        <v>7088.7503999999999</v>
      </c>
      <c r="R60" s="84">
        <f>Q60</f>
        <v>7088.7503999999999</v>
      </c>
      <c r="S60" s="1"/>
      <c r="T60" s="6"/>
      <c r="U60" s="1"/>
      <c r="V60" s="1"/>
      <c r="W60" s="1"/>
      <c r="X60" s="1"/>
      <c r="Y60" s="1"/>
      <c r="Z60" s="1"/>
      <c r="AA60" s="1"/>
    </row>
    <row r="61" spans="1:27">
      <c r="A61" s="85">
        <v>2</v>
      </c>
      <c r="B61" s="62" t="s">
        <v>128</v>
      </c>
      <c r="C61" s="66">
        <f>2*0.25</f>
        <v>0.5</v>
      </c>
      <c r="D61" s="69">
        <f t="shared" si="64"/>
        <v>7.4999999999999997E-2</v>
      </c>
      <c r="E61" s="68">
        <f t="shared" si="65"/>
        <v>270</v>
      </c>
      <c r="F61" s="66">
        <v>0.5</v>
      </c>
      <c r="G61" s="66" t="s">
        <v>154</v>
      </c>
      <c r="H61" s="66">
        <v>0.56000000000000005</v>
      </c>
      <c r="I61" s="66">
        <v>25.12</v>
      </c>
      <c r="J61" s="66">
        <f t="shared" si="66"/>
        <v>12.56</v>
      </c>
      <c r="K61" s="66">
        <v>2</v>
      </c>
      <c r="L61" s="68">
        <f t="shared" si="67"/>
        <v>31.046400000000006</v>
      </c>
      <c r="M61" s="66">
        <f t="shared" si="68"/>
        <v>43.606400000000008</v>
      </c>
      <c r="N61" s="66"/>
      <c r="O61" s="66"/>
      <c r="P61" s="66"/>
      <c r="Q61" s="67">
        <f>M61+N61+O61+P61*1000</f>
        <v>43.606400000000008</v>
      </c>
      <c r="R61" s="84">
        <f>Q61+R60</f>
        <v>7132.3567999999996</v>
      </c>
      <c r="S61" s="1"/>
      <c r="T61" s="6"/>
      <c r="U61" s="1"/>
      <c r="V61" s="1"/>
      <c r="W61" s="1"/>
      <c r="X61" s="1"/>
      <c r="Y61" s="1"/>
      <c r="Z61" s="1"/>
      <c r="AA61" s="1"/>
    </row>
    <row r="62" spans="1:27" ht="15.75" thickBot="1">
      <c r="A62" s="86">
        <v>3</v>
      </c>
      <c r="B62" s="87" t="s">
        <v>129</v>
      </c>
      <c r="C62" s="88">
        <f>3*0.25</f>
        <v>0.75</v>
      </c>
      <c r="D62" s="89">
        <f t="shared" si="64"/>
        <v>0.11249999999999999</v>
      </c>
      <c r="E62" s="90">
        <f t="shared" si="65"/>
        <v>404.99999999999994</v>
      </c>
      <c r="F62" s="88">
        <v>1</v>
      </c>
      <c r="G62" s="88" t="s">
        <v>155</v>
      </c>
      <c r="H62" s="88">
        <v>0.78</v>
      </c>
      <c r="I62" s="88">
        <v>45.89</v>
      </c>
      <c r="J62" s="88">
        <f t="shared" si="66"/>
        <v>45.89</v>
      </c>
      <c r="K62" s="88">
        <v>4</v>
      </c>
      <c r="L62" s="90">
        <f t="shared" si="67"/>
        <v>120.46320000000001</v>
      </c>
      <c r="M62" s="88">
        <f t="shared" si="68"/>
        <v>166.35320000000002</v>
      </c>
      <c r="N62" s="88"/>
      <c r="O62" s="88"/>
      <c r="P62" s="88"/>
      <c r="Q62" s="91">
        <f>M62+N62+O62+P62*1000</f>
        <v>166.35320000000002</v>
      </c>
      <c r="R62" s="92">
        <f t="shared" ref="R62" si="69">Q62+R61</f>
        <v>7298.7099999999991</v>
      </c>
      <c r="S62" s="1"/>
      <c r="T62" s="6"/>
      <c r="U62" s="1"/>
      <c r="V62" s="1"/>
      <c r="W62" s="1"/>
      <c r="X62" s="1"/>
      <c r="Y62" s="1"/>
      <c r="Z62" s="1"/>
      <c r="AA62" s="1"/>
    </row>
    <row r="63" spans="1:27" ht="15.75" thickBot="1">
      <c r="A63" s="115"/>
      <c r="B63" s="116" t="s">
        <v>115</v>
      </c>
      <c r="C63" s="117"/>
      <c r="D63" s="117"/>
      <c r="E63" s="117"/>
      <c r="F63" s="117"/>
      <c r="G63" s="117"/>
      <c r="H63" s="117"/>
      <c r="I63" s="117"/>
      <c r="J63" s="117"/>
      <c r="K63" s="118"/>
      <c r="L63" s="117"/>
      <c r="M63" s="117"/>
      <c r="N63" s="117"/>
      <c r="O63" s="117"/>
      <c r="P63" s="117"/>
      <c r="Q63" s="119"/>
      <c r="R63" s="120"/>
      <c r="S63" s="1"/>
      <c r="T63" s="6"/>
      <c r="U63" s="1"/>
      <c r="V63" s="1"/>
      <c r="W63" s="1"/>
      <c r="X63" s="1"/>
      <c r="Y63" s="1"/>
      <c r="Z63" s="1"/>
      <c r="AA63" s="1"/>
    </row>
    <row r="64" spans="1:27">
      <c r="A64" s="79" t="s">
        <v>0</v>
      </c>
      <c r="B64" s="121" t="s">
        <v>1</v>
      </c>
      <c r="C64" s="80" t="s">
        <v>2</v>
      </c>
      <c r="D64" s="80" t="s">
        <v>3</v>
      </c>
      <c r="E64" s="80" t="s">
        <v>3</v>
      </c>
      <c r="F64" s="80" t="s">
        <v>4</v>
      </c>
      <c r="G64" s="80" t="s">
        <v>5</v>
      </c>
      <c r="H64" s="80" t="s">
        <v>6</v>
      </c>
      <c r="I64" s="80" t="s">
        <v>7</v>
      </c>
      <c r="J64" s="80" t="s">
        <v>8</v>
      </c>
      <c r="K64" s="80" t="s">
        <v>9</v>
      </c>
      <c r="L64" s="80" t="s">
        <v>10</v>
      </c>
      <c r="M64" s="80" t="s">
        <v>11</v>
      </c>
      <c r="N64" s="80" t="s">
        <v>12</v>
      </c>
      <c r="O64" s="80" t="s">
        <v>13</v>
      </c>
      <c r="P64" s="80" t="s">
        <v>14</v>
      </c>
      <c r="Q64" s="81" t="s">
        <v>15</v>
      </c>
      <c r="R64" s="82" t="s">
        <v>16</v>
      </c>
      <c r="S64" s="1"/>
      <c r="T64" s="6"/>
      <c r="U64" s="1"/>
      <c r="V64" s="1"/>
      <c r="W64" s="1"/>
      <c r="X64" s="1"/>
      <c r="Y64" s="1"/>
      <c r="Z64" s="1"/>
      <c r="AA64" s="1"/>
    </row>
    <row r="65" spans="1:27">
      <c r="A65" s="83" t="s">
        <v>17</v>
      </c>
      <c r="B65" s="62" t="s">
        <v>18</v>
      </c>
      <c r="C65" s="66" t="s">
        <v>19</v>
      </c>
      <c r="D65" s="66" t="s">
        <v>20</v>
      </c>
      <c r="E65" s="66" t="s">
        <v>21</v>
      </c>
      <c r="F65" s="66" t="s">
        <v>22</v>
      </c>
      <c r="G65" s="66" t="s">
        <v>23</v>
      </c>
      <c r="H65" s="66" t="s">
        <v>24</v>
      </c>
      <c r="I65" s="66" t="s">
        <v>25</v>
      </c>
      <c r="J65" s="66" t="s">
        <v>26</v>
      </c>
      <c r="K65" s="66"/>
      <c r="L65" s="66" t="s">
        <v>26</v>
      </c>
      <c r="M65" s="66" t="s">
        <v>26</v>
      </c>
      <c r="N65" s="66" t="s">
        <v>26</v>
      </c>
      <c r="O65" s="66" t="s">
        <v>27</v>
      </c>
      <c r="P65" s="66" t="s">
        <v>28</v>
      </c>
      <c r="Q65" s="67" t="s">
        <v>29</v>
      </c>
      <c r="R65" s="84" t="s">
        <v>26</v>
      </c>
      <c r="S65" s="1"/>
      <c r="T65" s="6"/>
      <c r="U65" s="1"/>
      <c r="V65" s="1"/>
      <c r="W65" s="1"/>
      <c r="X65" s="1"/>
      <c r="Y65" s="1"/>
      <c r="Z65" s="1"/>
      <c r="AA65" s="1"/>
    </row>
    <row r="66" spans="1:27">
      <c r="A66" s="85">
        <v>1</v>
      </c>
      <c r="B66" s="62" t="s">
        <v>32</v>
      </c>
      <c r="C66" s="66">
        <f>1*0.25</f>
        <v>0.25</v>
      </c>
      <c r="D66" s="69">
        <f t="shared" ref="D66:D67" si="70">IF(C66&gt;=1,0.15*C66^0.5+0.004*C66,0.15*C66)</f>
        <v>3.7499999999999999E-2</v>
      </c>
      <c r="E66" s="68">
        <f t="shared" ref="E66:E67" si="71">D66*3600</f>
        <v>135</v>
      </c>
      <c r="F66" s="66">
        <v>3</v>
      </c>
      <c r="G66" s="66" t="s">
        <v>156</v>
      </c>
      <c r="H66" s="66">
        <v>0.36</v>
      </c>
      <c r="I66" s="66">
        <v>18.98</v>
      </c>
      <c r="J66" s="66">
        <f t="shared" ref="J66:J67" si="72">I66*F66</f>
        <v>56.94</v>
      </c>
      <c r="K66" s="66">
        <v>2</v>
      </c>
      <c r="L66" s="68">
        <f t="shared" ref="L66:L67" si="73">H66^2*49.5*K66</f>
        <v>12.830399999999999</v>
      </c>
      <c r="M66" s="66">
        <f t="shared" ref="M66:M67" si="74">J66+L66</f>
        <v>69.770399999999995</v>
      </c>
      <c r="N66" s="66">
        <v>300</v>
      </c>
      <c r="O66" s="66">
        <v>3000</v>
      </c>
      <c r="P66" s="66">
        <v>3.7</v>
      </c>
      <c r="Q66" s="67">
        <f>M66+N66+O66+P66*1000</f>
        <v>7069.7703999999994</v>
      </c>
      <c r="R66" s="84">
        <f>Q66</f>
        <v>7069.7703999999994</v>
      </c>
      <c r="S66" s="1"/>
      <c r="T66" s="6"/>
      <c r="U66" s="1"/>
      <c r="V66" s="1"/>
      <c r="W66" s="1"/>
      <c r="X66" s="1"/>
      <c r="Y66" s="1"/>
      <c r="Z66" s="1"/>
      <c r="AA66" s="1"/>
    </row>
    <row r="67" spans="1:27" ht="15.75" thickBot="1">
      <c r="A67" s="86">
        <v>2</v>
      </c>
      <c r="B67" s="87" t="s">
        <v>102</v>
      </c>
      <c r="C67" s="88">
        <f>2*0.25</f>
        <v>0.5</v>
      </c>
      <c r="D67" s="89">
        <f t="shared" si="70"/>
        <v>7.4999999999999997E-2</v>
      </c>
      <c r="E67" s="90">
        <f t="shared" si="71"/>
        <v>270</v>
      </c>
      <c r="F67" s="88">
        <v>4</v>
      </c>
      <c r="G67" s="88" t="s">
        <v>154</v>
      </c>
      <c r="H67" s="88">
        <v>0.46</v>
      </c>
      <c r="I67" s="88">
        <v>22.06</v>
      </c>
      <c r="J67" s="88">
        <f t="shared" si="72"/>
        <v>88.24</v>
      </c>
      <c r="K67" s="88">
        <v>4</v>
      </c>
      <c r="L67" s="90">
        <f t="shared" si="73"/>
        <v>41.896799999999999</v>
      </c>
      <c r="M67" s="88">
        <f t="shared" si="74"/>
        <v>130.13679999999999</v>
      </c>
      <c r="N67" s="88"/>
      <c r="O67" s="88"/>
      <c r="P67" s="88"/>
      <c r="Q67" s="91">
        <f>M67+N67+O67+P67*1000</f>
        <v>130.13679999999999</v>
      </c>
      <c r="R67" s="92">
        <f>Q67+R66</f>
        <v>7199.9071999999996</v>
      </c>
      <c r="S67" s="1"/>
      <c r="T67" s="6"/>
      <c r="U67" s="1"/>
      <c r="V67" s="1"/>
      <c r="W67" s="1"/>
      <c r="X67" s="1"/>
      <c r="Y67" s="1"/>
      <c r="Z67" s="1"/>
      <c r="AA67" s="1"/>
    </row>
    <row r="68" spans="1:27" ht="15.75" thickBot="1">
      <c r="A68" s="115"/>
      <c r="B68" s="116" t="s">
        <v>116</v>
      </c>
      <c r="C68" s="117"/>
      <c r="D68" s="117"/>
      <c r="E68" s="117"/>
      <c r="F68" s="117"/>
      <c r="G68" s="117"/>
      <c r="H68" s="117"/>
      <c r="I68" s="117"/>
      <c r="J68" s="117"/>
      <c r="K68" s="118"/>
      <c r="L68" s="117"/>
      <c r="M68" s="117"/>
      <c r="N68" s="117"/>
      <c r="O68" s="117"/>
      <c r="P68" s="117"/>
      <c r="Q68" s="119"/>
      <c r="R68" s="120"/>
      <c r="S68" s="1"/>
      <c r="T68" s="6"/>
      <c r="U68" s="1"/>
      <c r="V68" s="1"/>
      <c r="W68" s="1"/>
      <c r="X68" s="1"/>
      <c r="Y68" s="1"/>
      <c r="Z68" s="1"/>
      <c r="AA68" s="1"/>
    </row>
    <row r="69" spans="1:27">
      <c r="A69" s="79" t="s">
        <v>0</v>
      </c>
      <c r="B69" s="121" t="s">
        <v>1</v>
      </c>
      <c r="C69" s="80" t="s">
        <v>2</v>
      </c>
      <c r="D69" s="80" t="s">
        <v>3</v>
      </c>
      <c r="E69" s="80" t="s">
        <v>3</v>
      </c>
      <c r="F69" s="80" t="s">
        <v>4</v>
      </c>
      <c r="G69" s="80" t="s">
        <v>5</v>
      </c>
      <c r="H69" s="80" t="s">
        <v>6</v>
      </c>
      <c r="I69" s="80" t="s">
        <v>7</v>
      </c>
      <c r="J69" s="80" t="s">
        <v>8</v>
      </c>
      <c r="K69" s="80" t="s">
        <v>9</v>
      </c>
      <c r="L69" s="80" t="s">
        <v>10</v>
      </c>
      <c r="M69" s="80" t="s">
        <v>11</v>
      </c>
      <c r="N69" s="80" t="s">
        <v>12</v>
      </c>
      <c r="O69" s="80" t="s">
        <v>13</v>
      </c>
      <c r="P69" s="80" t="s">
        <v>14</v>
      </c>
      <c r="Q69" s="81" t="s">
        <v>15</v>
      </c>
      <c r="R69" s="82" t="s">
        <v>16</v>
      </c>
      <c r="S69" s="1"/>
      <c r="T69" s="6"/>
      <c r="U69" s="1"/>
      <c r="V69" s="1"/>
      <c r="W69" s="1"/>
      <c r="X69" s="1"/>
      <c r="Y69" s="1"/>
      <c r="Z69" s="1"/>
      <c r="AA69" s="1"/>
    </row>
    <row r="70" spans="1:27">
      <c r="A70" s="83" t="s">
        <v>17</v>
      </c>
      <c r="B70" s="62" t="s">
        <v>18</v>
      </c>
      <c r="C70" s="66" t="s">
        <v>19</v>
      </c>
      <c r="D70" s="66" t="s">
        <v>20</v>
      </c>
      <c r="E70" s="66" t="s">
        <v>21</v>
      </c>
      <c r="F70" s="66" t="s">
        <v>22</v>
      </c>
      <c r="G70" s="66" t="s">
        <v>23</v>
      </c>
      <c r="H70" s="66" t="s">
        <v>24</v>
      </c>
      <c r="I70" s="66" t="s">
        <v>25</v>
      </c>
      <c r="J70" s="66" t="s">
        <v>26</v>
      </c>
      <c r="K70" s="66"/>
      <c r="L70" s="66" t="s">
        <v>26</v>
      </c>
      <c r="M70" s="66" t="s">
        <v>26</v>
      </c>
      <c r="N70" s="66" t="s">
        <v>26</v>
      </c>
      <c r="O70" s="66" t="s">
        <v>27</v>
      </c>
      <c r="P70" s="66" t="s">
        <v>28</v>
      </c>
      <c r="Q70" s="67" t="s">
        <v>29</v>
      </c>
      <c r="R70" s="84" t="s">
        <v>26</v>
      </c>
      <c r="S70" s="1"/>
      <c r="T70" s="6"/>
      <c r="U70" s="1"/>
      <c r="V70" s="1"/>
      <c r="W70" s="1"/>
      <c r="X70" s="1"/>
      <c r="Y70" s="1"/>
      <c r="Z70" s="1"/>
      <c r="AA70" s="1"/>
    </row>
    <row r="71" spans="1:27">
      <c r="A71" s="85">
        <v>1</v>
      </c>
      <c r="B71" s="62" t="s">
        <v>32</v>
      </c>
      <c r="C71" s="66">
        <f>1*0.25</f>
        <v>0.25</v>
      </c>
      <c r="D71" s="69">
        <f t="shared" ref="D71:D73" si="75">IF(C71&gt;=1,0.15*C71^0.5+0.004*C71,0.15*C71)</f>
        <v>3.7499999999999999E-2</v>
      </c>
      <c r="E71" s="68">
        <f t="shared" ref="E71:E73" si="76">D71*3600</f>
        <v>135</v>
      </c>
      <c r="F71" s="66">
        <v>0.5</v>
      </c>
      <c r="G71" s="66" t="s">
        <v>156</v>
      </c>
      <c r="H71" s="66">
        <v>0.36</v>
      </c>
      <c r="I71" s="66">
        <v>18.98</v>
      </c>
      <c r="J71" s="66">
        <f t="shared" ref="J71:J73" si="77">I71*F71</f>
        <v>9.49</v>
      </c>
      <c r="K71" s="66">
        <v>2</v>
      </c>
      <c r="L71" s="68">
        <f t="shared" ref="L71:L73" si="78">H71^2*49.5*K71</f>
        <v>12.830399999999999</v>
      </c>
      <c r="M71" s="66">
        <f t="shared" ref="M71:M73" si="79">J71+L71</f>
        <v>22.320399999999999</v>
      </c>
      <c r="N71" s="66">
        <v>300</v>
      </c>
      <c r="O71" s="66">
        <v>3000</v>
      </c>
      <c r="P71" s="66">
        <v>3.7</v>
      </c>
      <c r="Q71" s="67">
        <f>M71+N71+O71+P71*1000</f>
        <v>7022.3204000000005</v>
      </c>
      <c r="R71" s="84">
        <f>Q71</f>
        <v>7022.3204000000005</v>
      </c>
      <c r="S71" s="1"/>
      <c r="T71" s="6"/>
      <c r="U71" s="1"/>
      <c r="V71" s="1"/>
      <c r="W71" s="1"/>
      <c r="X71" s="1"/>
      <c r="Y71" s="1"/>
      <c r="Z71" s="1"/>
      <c r="AA71" s="1"/>
    </row>
    <row r="72" spans="1:27">
      <c r="A72" s="85">
        <v>2</v>
      </c>
      <c r="B72" s="62" t="s">
        <v>102</v>
      </c>
      <c r="C72" s="66">
        <f>2*0.25</f>
        <v>0.5</v>
      </c>
      <c r="D72" s="69">
        <f t="shared" si="75"/>
        <v>7.4999999999999997E-2</v>
      </c>
      <c r="E72" s="68">
        <f t="shared" si="76"/>
        <v>270</v>
      </c>
      <c r="F72" s="66">
        <v>2</v>
      </c>
      <c r="G72" s="66" t="s">
        <v>154</v>
      </c>
      <c r="H72" s="66">
        <v>0.46</v>
      </c>
      <c r="I72" s="66">
        <v>22.06</v>
      </c>
      <c r="J72" s="66">
        <f t="shared" si="77"/>
        <v>44.12</v>
      </c>
      <c r="K72" s="66">
        <v>2</v>
      </c>
      <c r="L72" s="68">
        <f t="shared" si="78"/>
        <v>20.948399999999999</v>
      </c>
      <c r="M72" s="66">
        <f t="shared" si="79"/>
        <v>65.068399999999997</v>
      </c>
      <c r="N72" s="66"/>
      <c r="O72" s="66"/>
      <c r="P72" s="66"/>
      <c r="Q72" s="67">
        <f>M72+N72+O72+P72*1000</f>
        <v>65.068399999999997</v>
      </c>
      <c r="R72" s="84">
        <f>Q72+R71</f>
        <v>7087.3888000000006</v>
      </c>
      <c r="S72" s="1"/>
      <c r="T72" s="6"/>
      <c r="U72" s="1"/>
      <c r="V72" s="1"/>
      <c r="W72" s="1"/>
      <c r="X72" s="1"/>
      <c r="Y72" s="1"/>
      <c r="Z72" s="1"/>
      <c r="AA72" s="1"/>
    </row>
    <row r="73" spans="1:27" ht="15.75" thickBot="1">
      <c r="A73" s="85">
        <v>3</v>
      </c>
      <c r="B73" s="62" t="s">
        <v>103</v>
      </c>
      <c r="C73" s="66">
        <f>3*0.25</f>
        <v>0.75</v>
      </c>
      <c r="D73" s="69">
        <f t="shared" si="75"/>
        <v>0.11249999999999999</v>
      </c>
      <c r="E73" s="68">
        <f t="shared" si="76"/>
        <v>404.99999999999994</v>
      </c>
      <c r="F73" s="66">
        <v>1</v>
      </c>
      <c r="G73" s="88" t="s">
        <v>154</v>
      </c>
      <c r="H73" s="66">
        <v>0.69</v>
      </c>
      <c r="I73" s="66">
        <v>48.74</v>
      </c>
      <c r="J73" s="66">
        <f t="shared" si="77"/>
        <v>48.74</v>
      </c>
      <c r="K73" s="66">
        <v>4</v>
      </c>
      <c r="L73" s="68">
        <f t="shared" si="78"/>
        <v>94.26779999999998</v>
      </c>
      <c r="M73" s="66">
        <f t="shared" si="79"/>
        <v>143.00779999999997</v>
      </c>
      <c r="N73" s="66"/>
      <c r="O73" s="66"/>
      <c r="P73" s="66"/>
      <c r="Q73" s="67">
        <f>M73+N73+O73+P73*1000</f>
        <v>143.00779999999997</v>
      </c>
      <c r="R73" s="84">
        <f t="shared" ref="R73" si="80">Q73+R72</f>
        <v>7230.3966000000009</v>
      </c>
      <c r="S73" s="1"/>
      <c r="T73" s="6"/>
      <c r="U73" s="1"/>
      <c r="V73" s="1"/>
      <c r="W73" s="1"/>
      <c r="X73" s="1"/>
      <c r="Y73" s="1"/>
      <c r="Z73" s="1"/>
      <c r="AA73" s="1"/>
    </row>
    <row r="74" spans="1:27">
      <c r="A74" s="79"/>
      <c r="B74" s="112" t="s">
        <v>117</v>
      </c>
      <c r="C74" s="80"/>
      <c r="D74" s="80"/>
      <c r="E74" s="80"/>
      <c r="F74" s="80"/>
      <c r="G74" s="80"/>
      <c r="H74" s="80"/>
      <c r="I74" s="80"/>
      <c r="J74" s="80"/>
      <c r="K74" s="113"/>
      <c r="L74" s="80"/>
      <c r="M74" s="80"/>
      <c r="N74" s="80"/>
      <c r="O74" s="80"/>
      <c r="P74" s="80"/>
      <c r="Q74" s="81"/>
      <c r="R74" s="82"/>
      <c r="S74" s="1"/>
      <c r="T74" s="6"/>
      <c r="U74" s="1"/>
      <c r="V74" s="1"/>
      <c r="W74" s="1"/>
      <c r="X74" s="1"/>
      <c r="Y74" s="1"/>
      <c r="Z74" s="1"/>
      <c r="AA74" s="1"/>
    </row>
    <row r="75" spans="1:27">
      <c r="A75" s="83" t="s">
        <v>0</v>
      </c>
      <c r="B75" s="62" t="s">
        <v>1</v>
      </c>
      <c r="C75" s="66" t="s">
        <v>2</v>
      </c>
      <c r="D75" s="66" t="s">
        <v>3</v>
      </c>
      <c r="E75" s="66" t="s">
        <v>3</v>
      </c>
      <c r="F75" s="66" t="s">
        <v>4</v>
      </c>
      <c r="G75" s="66" t="s">
        <v>5</v>
      </c>
      <c r="H75" s="66" t="s">
        <v>6</v>
      </c>
      <c r="I75" s="66" t="s">
        <v>7</v>
      </c>
      <c r="J75" s="66" t="s">
        <v>8</v>
      </c>
      <c r="K75" s="66" t="s">
        <v>9</v>
      </c>
      <c r="L75" s="66" t="s">
        <v>10</v>
      </c>
      <c r="M75" s="66" t="s">
        <v>11</v>
      </c>
      <c r="N75" s="66" t="s">
        <v>12</v>
      </c>
      <c r="O75" s="66" t="s">
        <v>13</v>
      </c>
      <c r="P75" s="66" t="s">
        <v>14</v>
      </c>
      <c r="Q75" s="67" t="s">
        <v>15</v>
      </c>
      <c r="R75" s="84" t="s">
        <v>16</v>
      </c>
      <c r="S75" s="1"/>
      <c r="T75" s="6"/>
      <c r="U75" s="1"/>
      <c r="V75" s="1"/>
      <c r="W75" s="1"/>
      <c r="X75" s="1"/>
      <c r="Y75" s="1"/>
      <c r="Z75" s="1"/>
      <c r="AA75" s="1"/>
    </row>
    <row r="76" spans="1:27">
      <c r="A76" s="83" t="s">
        <v>17</v>
      </c>
      <c r="B76" s="62" t="s">
        <v>18</v>
      </c>
      <c r="C76" s="66" t="s">
        <v>19</v>
      </c>
      <c r="D76" s="66" t="s">
        <v>20</v>
      </c>
      <c r="E76" s="66" t="s">
        <v>21</v>
      </c>
      <c r="F76" s="66" t="s">
        <v>22</v>
      </c>
      <c r="G76" s="66" t="s">
        <v>23</v>
      </c>
      <c r="H76" s="66" t="s">
        <v>24</v>
      </c>
      <c r="I76" s="66" t="s">
        <v>25</v>
      </c>
      <c r="J76" s="66" t="s">
        <v>26</v>
      </c>
      <c r="K76" s="66"/>
      <c r="L76" s="66" t="s">
        <v>26</v>
      </c>
      <c r="M76" s="66" t="s">
        <v>26</v>
      </c>
      <c r="N76" s="66" t="s">
        <v>26</v>
      </c>
      <c r="O76" s="66" t="s">
        <v>27</v>
      </c>
      <c r="P76" s="66" t="s">
        <v>28</v>
      </c>
      <c r="Q76" s="67" t="s">
        <v>29</v>
      </c>
      <c r="R76" s="84" t="s">
        <v>26</v>
      </c>
      <c r="S76" s="1"/>
      <c r="T76" s="6"/>
      <c r="U76" s="1"/>
      <c r="V76" s="1"/>
      <c r="W76" s="1"/>
      <c r="X76" s="1"/>
      <c r="Y76" s="1"/>
      <c r="Z76" s="1"/>
      <c r="AA76" s="1"/>
    </row>
    <row r="77" spans="1:27">
      <c r="A77" s="85">
        <v>1</v>
      </c>
      <c r="B77" s="62" t="s">
        <v>32</v>
      </c>
      <c r="C77" s="66">
        <f>1*0.25</f>
        <v>0.25</v>
      </c>
      <c r="D77" s="69">
        <f t="shared" ref="D77:D79" si="81">IF(C77&gt;=1,0.15*C77^0.5+0.004*C77,0.15*C77)</f>
        <v>3.7499999999999999E-2</v>
      </c>
      <c r="E77" s="68">
        <f t="shared" ref="E77:E80" si="82">D77*3600</f>
        <v>135</v>
      </c>
      <c r="F77" s="66">
        <v>4</v>
      </c>
      <c r="G77" s="66" t="s">
        <v>156</v>
      </c>
      <c r="H77" s="66">
        <v>0.36</v>
      </c>
      <c r="I77" s="66">
        <v>18.98</v>
      </c>
      <c r="J77" s="66">
        <f t="shared" ref="J77:J80" si="83">I77*F77</f>
        <v>75.92</v>
      </c>
      <c r="K77" s="66">
        <v>2</v>
      </c>
      <c r="L77" s="68">
        <f t="shared" ref="L77:L80" si="84">H77^2*49.5*K77</f>
        <v>12.830399999999999</v>
      </c>
      <c r="M77" s="66">
        <f t="shared" ref="M77:M80" si="85">J77+L77</f>
        <v>88.750399999999999</v>
      </c>
      <c r="N77" s="66">
        <v>300</v>
      </c>
      <c r="O77" s="66">
        <v>3000</v>
      </c>
      <c r="P77" s="66">
        <v>3.7</v>
      </c>
      <c r="Q77" s="67">
        <f>M77+N77+O77+P77*1000</f>
        <v>7088.7503999999999</v>
      </c>
      <c r="R77" s="84">
        <f>Q77</f>
        <v>7088.7503999999999</v>
      </c>
      <c r="S77" s="1"/>
      <c r="T77" s="6"/>
      <c r="U77" s="1"/>
      <c r="V77" s="1"/>
      <c r="W77" s="1"/>
      <c r="X77" s="1"/>
      <c r="Y77" s="1"/>
      <c r="Z77" s="1"/>
      <c r="AA77" s="1"/>
    </row>
    <row r="78" spans="1:27">
      <c r="A78" s="85">
        <v>2</v>
      </c>
      <c r="B78" s="62" t="s">
        <v>102</v>
      </c>
      <c r="C78" s="66">
        <f>2*0.25</f>
        <v>0.5</v>
      </c>
      <c r="D78" s="69">
        <f t="shared" si="81"/>
        <v>7.4999999999999997E-2</v>
      </c>
      <c r="E78" s="68">
        <f t="shared" si="82"/>
        <v>270</v>
      </c>
      <c r="F78" s="66">
        <v>0.5</v>
      </c>
      <c r="G78" s="66" t="s">
        <v>154</v>
      </c>
      <c r="H78" s="66">
        <v>0.46</v>
      </c>
      <c r="I78" s="66">
        <v>22.06</v>
      </c>
      <c r="J78" s="66">
        <f t="shared" si="83"/>
        <v>11.03</v>
      </c>
      <c r="K78" s="66">
        <v>2</v>
      </c>
      <c r="L78" s="68">
        <f t="shared" si="84"/>
        <v>20.948399999999999</v>
      </c>
      <c r="M78" s="66">
        <f t="shared" si="85"/>
        <v>31.978400000000001</v>
      </c>
      <c r="N78" s="66"/>
      <c r="O78" s="66"/>
      <c r="P78" s="66"/>
      <c r="Q78" s="67">
        <f>M78+N78+O78+P78*1000</f>
        <v>31.978400000000001</v>
      </c>
      <c r="R78" s="84">
        <f>Q78+R77</f>
        <v>7120.7287999999999</v>
      </c>
      <c r="S78" s="1"/>
      <c r="T78" s="6"/>
      <c r="U78" s="1"/>
      <c r="V78" s="1"/>
      <c r="W78" s="1"/>
      <c r="X78" s="1"/>
      <c r="Y78" s="1"/>
      <c r="Z78" s="1"/>
      <c r="AA78" s="1"/>
    </row>
    <row r="79" spans="1:27">
      <c r="A79" s="85">
        <v>3</v>
      </c>
      <c r="B79" s="62" t="s">
        <v>103</v>
      </c>
      <c r="C79" s="66">
        <f>3*0.25</f>
        <v>0.75</v>
      </c>
      <c r="D79" s="69">
        <f t="shared" si="81"/>
        <v>0.11249999999999999</v>
      </c>
      <c r="E79" s="68">
        <f t="shared" si="82"/>
        <v>404.99999999999994</v>
      </c>
      <c r="F79" s="66">
        <v>5</v>
      </c>
      <c r="G79" s="66" t="s">
        <v>154</v>
      </c>
      <c r="H79" s="66">
        <v>0.69</v>
      </c>
      <c r="I79" s="66">
        <v>48.74</v>
      </c>
      <c r="J79" s="66">
        <f t="shared" si="83"/>
        <v>243.70000000000002</v>
      </c>
      <c r="K79" s="66">
        <v>2</v>
      </c>
      <c r="L79" s="68">
        <f t="shared" si="84"/>
        <v>47.13389999999999</v>
      </c>
      <c r="M79" s="66">
        <f t="shared" si="85"/>
        <v>290.83390000000003</v>
      </c>
      <c r="N79" s="66"/>
      <c r="O79" s="66"/>
      <c r="P79" s="66"/>
      <c r="Q79" s="67">
        <f>M79+N79+O79+P79*1000</f>
        <v>290.83390000000003</v>
      </c>
      <c r="R79" s="84">
        <f t="shared" ref="R79:R80" si="86">Q79+R78</f>
        <v>7411.5626999999995</v>
      </c>
      <c r="S79" s="1"/>
      <c r="T79" s="6"/>
      <c r="U79" s="1"/>
      <c r="V79" s="1"/>
      <c r="W79" s="1"/>
      <c r="X79" s="1"/>
      <c r="Y79" s="1"/>
      <c r="Z79" s="1"/>
      <c r="AA79" s="1"/>
    </row>
    <row r="80" spans="1:27">
      <c r="A80" s="66">
        <v>4</v>
      </c>
      <c r="B80" s="62" t="s">
        <v>105</v>
      </c>
      <c r="C80" s="66">
        <f>4*0.25</f>
        <v>1</v>
      </c>
      <c r="D80" s="69">
        <f>IF(C80&gt;=1,0.15*C80^0.5+0.004*C80,0.15*C80)</f>
        <v>0.154</v>
      </c>
      <c r="E80" s="68">
        <f t="shared" si="82"/>
        <v>554.4</v>
      </c>
      <c r="F80" s="66">
        <v>16</v>
      </c>
      <c r="G80" s="66" t="s">
        <v>155</v>
      </c>
      <c r="H80" s="66">
        <v>0.61</v>
      </c>
      <c r="I80" s="66">
        <v>28.74</v>
      </c>
      <c r="J80" s="66">
        <f t="shared" si="83"/>
        <v>459.84</v>
      </c>
      <c r="K80" s="66">
        <v>4</v>
      </c>
      <c r="L80" s="68">
        <f t="shared" si="84"/>
        <v>73.675799999999995</v>
      </c>
      <c r="M80" s="66">
        <f t="shared" si="85"/>
        <v>533.51580000000001</v>
      </c>
      <c r="N80" s="66"/>
      <c r="O80" s="66"/>
      <c r="P80" s="66"/>
      <c r="Q80" s="67">
        <f>M80+N80+O80+P80*1000</f>
        <v>533.51580000000001</v>
      </c>
      <c r="R80" s="68">
        <f t="shared" si="86"/>
        <v>7945.0784999999996</v>
      </c>
      <c r="S80" s="1"/>
      <c r="T80" s="6"/>
      <c r="U80" s="1"/>
      <c r="V80" s="1"/>
      <c r="W80" s="1"/>
      <c r="X80" s="1"/>
      <c r="Y80" s="1"/>
      <c r="Z80" s="1"/>
      <c r="AA80" s="1"/>
    </row>
    <row r="81" spans="1:27" ht="15.75" thickBot="1">
      <c r="A81" s="124">
        <v>5</v>
      </c>
      <c r="B81" s="125" t="s">
        <v>160</v>
      </c>
      <c r="C81" s="126">
        <f>7*0.25</f>
        <v>1.75</v>
      </c>
      <c r="D81" s="127">
        <f>IF(C81&gt;=1,0.15*C81^0.5+0.004*C81,0.15*C81)</f>
        <v>0.2054313483298443</v>
      </c>
      <c r="E81" s="128">
        <f t="shared" ref="E81" si="87">D81*3600</f>
        <v>739.55285398743945</v>
      </c>
      <c r="F81" s="126">
        <v>16</v>
      </c>
      <c r="G81" s="126" t="s">
        <v>155</v>
      </c>
      <c r="H81" s="126">
        <v>0.81</v>
      </c>
      <c r="I81" s="126">
        <v>48.46</v>
      </c>
      <c r="J81" s="126">
        <f t="shared" ref="J81" si="88">I81*F81</f>
        <v>775.36</v>
      </c>
      <c r="K81" s="126">
        <v>4</v>
      </c>
      <c r="L81" s="128">
        <f t="shared" ref="L81" si="89">H81^2*49.5*K81</f>
        <v>129.90780000000004</v>
      </c>
      <c r="M81" s="126">
        <f t="shared" ref="M81" si="90">J81+L81</f>
        <v>905.26780000000008</v>
      </c>
      <c r="N81" s="126"/>
      <c r="O81" s="126"/>
      <c r="P81" s="126"/>
      <c r="Q81" s="129">
        <f>M81+N81+O81+P81*1000</f>
        <v>905.26780000000008</v>
      </c>
      <c r="R81" s="122">
        <f t="shared" ref="R81" si="91">Q81+R80</f>
        <v>8850.3462999999992</v>
      </c>
      <c r="S81" s="1"/>
      <c r="T81" s="6"/>
      <c r="U81" s="1"/>
      <c r="V81" s="1"/>
      <c r="W81" s="1"/>
      <c r="X81" s="1"/>
      <c r="Y81" s="1"/>
      <c r="Z81" s="1"/>
      <c r="AA81" s="1"/>
    </row>
    <row r="82" spans="1:27" ht="15.75" thickBot="1">
      <c r="A82" s="115"/>
      <c r="B82" s="116" t="s">
        <v>118</v>
      </c>
      <c r="C82" s="117"/>
      <c r="D82" s="117"/>
      <c r="E82" s="117"/>
      <c r="F82" s="117"/>
      <c r="G82" s="117"/>
      <c r="H82" s="117"/>
      <c r="I82" s="117"/>
      <c r="J82" s="117"/>
      <c r="K82" s="118"/>
      <c r="L82" s="117"/>
      <c r="M82" s="117"/>
      <c r="N82" s="117"/>
      <c r="O82" s="117"/>
      <c r="P82" s="117"/>
      <c r="Q82" s="119"/>
      <c r="R82" s="120"/>
      <c r="S82" s="1"/>
      <c r="T82" s="6"/>
      <c r="U82" s="1"/>
      <c r="V82" s="1"/>
      <c r="W82" s="1"/>
      <c r="X82" s="1"/>
      <c r="Y82" s="1"/>
      <c r="Z82" s="1"/>
      <c r="AA82" s="1"/>
    </row>
    <row r="83" spans="1:27">
      <c r="A83" s="79" t="s">
        <v>0</v>
      </c>
      <c r="B83" s="121" t="s">
        <v>1</v>
      </c>
      <c r="C83" s="80" t="s">
        <v>2</v>
      </c>
      <c r="D83" s="80" t="s">
        <v>3</v>
      </c>
      <c r="E83" s="80" t="s">
        <v>3</v>
      </c>
      <c r="F83" s="80" t="s">
        <v>4</v>
      </c>
      <c r="G83" s="80" t="s">
        <v>5</v>
      </c>
      <c r="H83" s="80" t="s">
        <v>6</v>
      </c>
      <c r="I83" s="80" t="s">
        <v>7</v>
      </c>
      <c r="J83" s="80" t="s">
        <v>8</v>
      </c>
      <c r="K83" s="80" t="s">
        <v>9</v>
      </c>
      <c r="L83" s="80" t="s">
        <v>10</v>
      </c>
      <c r="M83" s="80" t="s">
        <v>11</v>
      </c>
      <c r="N83" s="80" t="s">
        <v>12</v>
      </c>
      <c r="O83" s="80" t="s">
        <v>13</v>
      </c>
      <c r="P83" s="80" t="s">
        <v>14</v>
      </c>
      <c r="Q83" s="81" t="s">
        <v>15</v>
      </c>
      <c r="R83" s="82" t="s">
        <v>16</v>
      </c>
      <c r="S83" s="1"/>
      <c r="T83" s="6"/>
      <c r="U83" s="1"/>
      <c r="V83" s="1"/>
      <c r="W83" s="1"/>
      <c r="X83" s="1"/>
      <c r="Y83" s="1"/>
      <c r="Z83" s="1"/>
      <c r="AA83" s="1"/>
    </row>
    <row r="84" spans="1:27">
      <c r="A84" s="83" t="s">
        <v>17</v>
      </c>
      <c r="B84" s="62" t="s">
        <v>18</v>
      </c>
      <c r="C84" s="66" t="s">
        <v>19</v>
      </c>
      <c r="D84" s="66" t="s">
        <v>20</v>
      </c>
      <c r="E84" s="66" t="s">
        <v>21</v>
      </c>
      <c r="F84" s="66" t="s">
        <v>22</v>
      </c>
      <c r="G84" s="66" t="s">
        <v>23</v>
      </c>
      <c r="H84" s="66" t="s">
        <v>24</v>
      </c>
      <c r="I84" s="66" t="s">
        <v>25</v>
      </c>
      <c r="J84" s="66" t="s">
        <v>26</v>
      </c>
      <c r="K84" s="66"/>
      <c r="L84" s="66" t="s">
        <v>26</v>
      </c>
      <c r="M84" s="66" t="s">
        <v>26</v>
      </c>
      <c r="N84" s="66" t="s">
        <v>26</v>
      </c>
      <c r="O84" s="66" t="s">
        <v>27</v>
      </c>
      <c r="P84" s="66" t="s">
        <v>28</v>
      </c>
      <c r="Q84" s="67" t="s">
        <v>29</v>
      </c>
      <c r="R84" s="84" t="s">
        <v>26</v>
      </c>
      <c r="S84" s="1"/>
      <c r="T84" s="6"/>
      <c r="U84" s="1"/>
      <c r="V84" s="1"/>
      <c r="W84" s="1"/>
      <c r="X84" s="1"/>
      <c r="Y84" s="1"/>
      <c r="Z84" s="1"/>
      <c r="AA84" s="1"/>
    </row>
    <row r="85" spans="1:27">
      <c r="A85" s="85">
        <v>1</v>
      </c>
      <c r="B85" s="62" t="s">
        <v>32</v>
      </c>
      <c r="C85" s="66">
        <f>1*0.25</f>
        <v>0.25</v>
      </c>
      <c r="D85" s="69">
        <f t="shared" ref="D85:D87" si="92">IF(C85&gt;=1,0.15*C85^0.5+0.004*C85,0.15*C85)</f>
        <v>3.7499999999999999E-2</v>
      </c>
      <c r="E85" s="68">
        <f t="shared" ref="E85:E87" si="93">D85*3600</f>
        <v>135</v>
      </c>
      <c r="F85" s="66">
        <v>1</v>
      </c>
      <c r="G85" s="66" t="s">
        <v>156</v>
      </c>
      <c r="H85" s="66">
        <v>0.36</v>
      </c>
      <c r="I85" s="66">
        <v>18.98</v>
      </c>
      <c r="J85" s="66">
        <f t="shared" ref="J85:J87" si="94">I85*F85</f>
        <v>18.98</v>
      </c>
      <c r="K85" s="66">
        <v>2</v>
      </c>
      <c r="L85" s="68">
        <f t="shared" ref="L85:L87" si="95">H85^2*49.5*K85</f>
        <v>12.830399999999999</v>
      </c>
      <c r="M85" s="66">
        <f t="shared" ref="M85:M87" si="96">J85+L85</f>
        <v>31.810400000000001</v>
      </c>
      <c r="N85" s="66">
        <v>300</v>
      </c>
      <c r="O85" s="66">
        <v>3000</v>
      </c>
      <c r="P85" s="66">
        <v>3.7</v>
      </c>
      <c r="Q85" s="67">
        <f>M85+N85+O85+P85*1000</f>
        <v>7031.8104000000003</v>
      </c>
      <c r="R85" s="84">
        <f>Q85</f>
        <v>7031.8104000000003</v>
      </c>
      <c r="S85" s="1"/>
      <c r="T85" s="6"/>
      <c r="U85" s="1"/>
      <c r="V85" s="1"/>
      <c r="W85" s="1"/>
      <c r="X85" s="1"/>
      <c r="Y85" s="1"/>
      <c r="Z85" s="1"/>
      <c r="AA85" s="1"/>
    </row>
    <row r="86" spans="1:27">
      <c r="A86" s="85">
        <v>2</v>
      </c>
      <c r="B86" s="62" t="s">
        <v>102</v>
      </c>
      <c r="C86" s="66">
        <f>2*0.25</f>
        <v>0.5</v>
      </c>
      <c r="D86" s="69">
        <f t="shared" si="92"/>
        <v>7.4999999999999997E-2</v>
      </c>
      <c r="E86" s="68">
        <f t="shared" si="93"/>
        <v>270</v>
      </c>
      <c r="F86" s="66">
        <v>2</v>
      </c>
      <c r="G86" s="66" t="s">
        <v>154</v>
      </c>
      <c r="H86" s="66">
        <v>0.46</v>
      </c>
      <c r="I86" s="66">
        <v>22.06</v>
      </c>
      <c r="J86" s="66">
        <f t="shared" si="94"/>
        <v>44.12</v>
      </c>
      <c r="K86" s="66">
        <v>2</v>
      </c>
      <c r="L86" s="68">
        <f t="shared" si="95"/>
        <v>20.948399999999999</v>
      </c>
      <c r="M86" s="66">
        <f t="shared" si="96"/>
        <v>65.068399999999997</v>
      </c>
      <c r="N86" s="66"/>
      <c r="O86" s="66"/>
      <c r="P86" s="66"/>
      <c r="Q86" s="67">
        <f>M86+N86+O86+P86*1000</f>
        <v>65.068399999999997</v>
      </c>
      <c r="R86" s="84">
        <f>Q86+R85</f>
        <v>7096.8788000000004</v>
      </c>
      <c r="S86" s="1"/>
      <c r="T86" s="6"/>
      <c r="U86" s="1"/>
      <c r="V86" s="1"/>
      <c r="W86" s="1"/>
      <c r="X86" s="1"/>
      <c r="Y86" s="1"/>
      <c r="Z86" s="1"/>
      <c r="AA86" s="1"/>
    </row>
    <row r="87" spans="1:27" ht="15.75" thickBot="1">
      <c r="A87" s="86">
        <v>3</v>
      </c>
      <c r="B87" s="87" t="s">
        <v>103</v>
      </c>
      <c r="C87" s="88">
        <f>3*0.25</f>
        <v>0.75</v>
      </c>
      <c r="D87" s="89">
        <f t="shared" si="92"/>
        <v>0.11249999999999999</v>
      </c>
      <c r="E87" s="90">
        <f t="shared" si="93"/>
        <v>404.99999999999994</v>
      </c>
      <c r="F87" s="88">
        <v>5</v>
      </c>
      <c r="G87" s="88" t="s">
        <v>154</v>
      </c>
      <c r="H87" s="88">
        <v>0.69</v>
      </c>
      <c r="I87" s="88">
        <v>48.74</v>
      </c>
      <c r="J87" s="88">
        <f t="shared" si="94"/>
        <v>243.70000000000002</v>
      </c>
      <c r="K87" s="88">
        <v>4</v>
      </c>
      <c r="L87" s="90">
        <f t="shared" si="95"/>
        <v>94.26779999999998</v>
      </c>
      <c r="M87" s="88">
        <f t="shared" si="96"/>
        <v>337.96780000000001</v>
      </c>
      <c r="N87" s="88"/>
      <c r="O87" s="88"/>
      <c r="P87" s="88"/>
      <c r="Q87" s="91">
        <f>M87+N87+O87+P87*1000</f>
        <v>337.96780000000001</v>
      </c>
      <c r="R87" s="92">
        <f t="shared" ref="R87" si="97">Q87+R86</f>
        <v>7434.8466000000008</v>
      </c>
      <c r="S87" s="1"/>
      <c r="T87" s="6"/>
      <c r="U87" s="1"/>
      <c r="V87" s="1"/>
      <c r="W87" s="1"/>
      <c r="X87" s="1"/>
      <c r="Y87" s="1"/>
      <c r="Z87" s="1"/>
      <c r="AA87" s="1"/>
    </row>
    <row r="88" spans="1:27">
      <c r="A88" s="21"/>
      <c r="B88" s="19"/>
      <c r="C88" s="21"/>
      <c r="D88" s="106"/>
      <c r="E88" s="54"/>
      <c r="F88" s="21"/>
      <c r="G88" s="21"/>
      <c r="H88" s="21"/>
      <c r="I88" s="21"/>
      <c r="J88" s="21"/>
      <c r="K88" s="21"/>
      <c r="L88" s="54"/>
      <c r="M88" s="21"/>
      <c r="N88" s="21"/>
      <c r="O88" s="21"/>
      <c r="P88" s="21"/>
      <c r="Q88" s="53"/>
      <c r="R88" s="54"/>
      <c r="S88" s="1"/>
      <c r="T88" s="6"/>
      <c r="U88" s="1"/>
      <c r="V88" s="1"/>
      <c r="W88" s="1"/>
      <c r="X88" s="1"/>
      <c r="Y88" s="1"/>
      <c r="Z88" s="1"/>
      <c r="AA88" s="1"/>
    </row>
    <row r="89" spans="1:27">
      <c r="A89" s="47" t="s">
        <v>69</v>
      </c>
      <c r="B89" s="63"/>
      <c r="C89" s="47"/>
      <c r="D89" s="63"/>
      <c r="E89" s="47"/>
      <c r="F89" s="63"/>
      <c r="G89" s="47"/>
      <c r="H89" s="63"/>
      <c r="I89" s="47"/>
      <c r="J89" s="63"/>
      <c r="K89"/>
      <c r="L89"/>
      <c r="M89" s="26"/>
      <c r="N89" s="26"/>
      <c r="O89" s="26"/>
      <c r="P89" s="26"/>
      <c r="Q89" s="29"/>
      <c r="R89" s="28"/>
      <c r="S89" s="1"/>
      <c r="T89" s="6"/>
      <c r="U89" s="1"/>
      <c r="V89" s="1"/>
      <c r="W89" s="1"/>
      <c r="X89" s="1"/>
      <c r="Y89" s="1"/>
      <c r="Z89" s="1"/>
      <c r="AA89" s="1"/>
    </row>
    <row r="90" spans="1:27">
      <c r="A90" s="64" t="s">
        <v>130</v>
      </c>
      <c r="B90" s="65"/>
      <c r="C90" s="64"/>
      <c r="D90" s="65"/>
      <c r="E90" s="64"/>
      <c r="F90" s="65"/>
      <c r="G90" s="64"/>
      <c r="H90" s="65"/>
      <c r="I90" s="64"/>
      <c r="J90" s="65"/>
      <c r="K90"/>
      <c r="L90"/>
      <c r="M90" s="26"/>
      <c r="N90" s="26"/>
      <c r="O90" s="26"/>
      <c r="P90" s="26"/>
      <c r="Q90" s="29"/>
      <c r="R90" s="28"/>
      <c r="S90" s="1"/>
      <c r="T90" s="6"/>
      <c r="U90" s="1"/>
      <c r="V90" s="1"/>
      <c r="W90" s="1"/>
      <c r="X90" s="1"/>
      <c r="Y90" s="1"/>
      <c r="Z90" s="1"/>
      <c r="AA90" s="1"/>
    </row>
    <row r="91" spans="1:27">
      <c r="A91" s="25"/>
      <c r="B91" s="20"/>
      <c r="C91" s="26"/>
      <c r="D91" s="27"/>
      <c r="E91" s="28"/>
      <c r="F91" s="26"/>
      <c r="G91" s="26"/>
      <c r="H91" s="26"/>
      <c r="I91" s="26"/>
      <c r="J91" s="26"/>
      <c r="K91" s="26"/>
      <c r="L91" s="28"/>
      <c r="M91" s="26"/>
      <c r="N91" s="26"/>
      <c r="O91" s="26"/>
      <c r="P91" s="26"/>
      <c r="Q91" s="29"/>
      <c r="R91" s="28"/>
      <c r="S91" s="1"/>
      <c r="T91" s="6"/>
      <c r="U91" s="1"/>
      <c r="V91" s="1"/>
      <c r="W91" s="1"/>
      <c r="X91" s="1"/>
      <c r="Y91" s="1"/>
      <c r="Z91" s="1"/>
      <c r="AA91" s="1"/>
    </row>
    <row r="92" spans="1:27">
      <c r="A92" s="19"/>
      <c r="B92" s="19"/>
      <c r="C92" s="21"/>
      <c r="D92" s="52"/>
      <c r="E92" s="21"/>
      <c r="F92" s="21"/>
      <c r="G92" s="21"/>
      <c r="H92" s="21"/>
      <c r="I92" s="21"/>
      <c r="J92" s="21"/>
      <c r="K92" s="52"/>
      <c r="L92" s="21"/>
      <c r="M92" s="21"/>
      <c r="N92" s="21"/>
      <c r="O92" s="21"/>
      <c r="P92" s="21"/>
      <c r="Q92" s="53"/>
      <c r="R92" s="54"/>
      <c r="S92" s="1"/>
      <c r="T92" s="6"/>
      <c r="U92" s="1"/>
      <c r="V92" s="1"/>
      <c r="W92" s="1"/>
      <c r="X92" s="1"/>
      <c r="Y92" s="1"/>
      <c r="Z92" s="1"/>
      <c r="AA92" s="1"/>
    </row>
    <row r="93" spans="1:27">
      <c r="A93" s="55"/>
      <c r="B93" s="42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7"/>
      <c r="R93" s="58"/>
      <c r="S93" s="1"/>
      <c r="T93" s="6"/>
      <c r="U93" s="1"/>
      <c r="V93" s="1"/>
      <c r="W93" s="1"/>
      <c r="X93" s="1"/>
      <c r="Y93" s="1"/>
      <c r="Z93" s="1"/>
      <c r="AA93" s="1"/>
    </row>
    <row r="94" spans="1:27">
      <c r="A94" s="25"/>
      <c r="B94" s="25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9"/>
      <c r="R94" s="28"/>
      <c r="S94" s="1"/>
      <c r="T94" s="6"/>
      <c r="U94" s="1"/>
      <c r="V94" s="1"/>
      <c r="W94" s="1"/>
      <c r="X94" s="1"/>
      <c r="Y94" s="1"/>
      <c r="Z94" s="1"/>
      <c r="AA94" s="1"/>
    </row>
    <row r="95" spans="1:27">
      <c r="A95" s="25"/>
      <c r="B95" s="25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9"/>
      <c r="R95" s="28"/>
      <c r="S95" s="1"/>
      <c r="T95" s="6"/>
      <c r="U95" s="1"/>
      <c r="V95" s="1"/>
      <c r="W95" s="1"/>
      <c r="X95" s="1"/>
      <c r="Y95" s="1"/>
      <c r="Z95" s="1"/>
      <c r="AA95" s="1"/>
    </row>
    <row r="96" spans="1:27">
      <c r="A96" s="25"/>
      <c r="B96" s="20"/>
      <c r="C96" s="26"/>
      <c r="D96" s="27"/>
      <c r="E96" s="28"/>
      <c r="F96" s="26"/>
      <c r="G96" s="26"/>
      <c r="H96" s="26"/>
      <c r="I96" s="26"/>
      <c r="J96" s="26"/>
      <c r="K96" s="26"/>
      <c r="L96" s="28"/>
      <c r="M96" s="26"/>
      <c r="N96" s="26"/>
      <c r="O96" s="26"/>
      <c r="P96" s="26"/>
      <c r="Q96" s="29"/>
      <c r="R96" s="28"/>
      <c r="S96" s="1"/>
      <c r="T96" s="6"/>
      <c r="U96" s="1"/>
      <c r="V96" s="1"/>
      <c r="W96" s="1"/>
      <c r="X96" s="1"/>
      <c r="Y96" s="1"/>
      <c r="Z96" s="1"/>
      <c r="AA96" s="1"/>
    </row>
    <row r="97" spans="1:27">
      <c r="A97" s="25"/>
      <c r="B97" s="20"/>
      <c r="C97" s="26"/>
      <c r="D97" s="27"/>
      <c r="E97" s="28"/>
      <c r="F97" s="26"/>
      <c r="G97" s="26"/>
      <c r="H97" s="26"/>
      <c r="I97" s="26"/>
      <c r="J97" s="26"/>
      <c r="K97" s="26"/>
      <c r="L97" s="28"/>
      <c r="M97" s="26"/>
      <c r="N97" s="26"/>
      <c r="O97" s="26"/>
      <c r="P97" s="26"/>
      <c r="Q97" s="29"/>
      <c r="R97" s="28"/>
      <c r="S97" s="1"/>
      <c r="T97" s="6"/>
      <c r="U97" s="1"/>
      <c r="V97" s="1"/>
      <c r="W97" s="1"/>
      <c r="X97" s="1"/>
      <c r="Y97" s="1"/>
      <c r="Z97" s="1"/>
      <c r="AA97" s="1"/>
    </row>
    <row r="98" spans="1:27">
      <c r="A98" s="25"/>
      <c r="B98" s="20"/>
      <c r="C98" s="26"/>
      <c r="D98" s="27"/>
      <c r="E98" s="28"/>
      <c r="F98" s="26"/>
      <c r="G98" s="26"/>
      <c r="H98" s="26"/>
      <c r="I98" s="26"/>
      <c r="J98" s="26"/>
      <c r="K98" s="26"/>
      <c r="L98" s="28"/>
      <c r="M98" s="26"/>
      <c r="N98" s="26"/>
      <c r="O98" s="26"/>
      <c r="P98" s="26"/>
      <c r="Q98" s="29"/>
      <c r="R98" s="28"/>
      <c r="S98" s="1"/>
      <c r="T98" s="6"/>
      <c r="U98" s="1"/>
      <c r="V98" s="1"/>
      <c r="W98" s="1"/>
      <c r="X98" s="1"/>
      <c r="Y98" s="1"/>
      <c r="Z98" s="1"/>
      <c r="AA98" s="1"/>
    </row>
    <row r="99" spans="1:27">
      <c r="A99" s="25"/>
      <c r="B99" s="20"/>
      <c r="C99" s="26"/>
      <c r="D99" s="27"/>
      <c r="E99" s="28"/>
      <c r="F99" s="26"/>
      <c r="G99" s="26"/>
      <c r="H99" s="26"/>
      <c r="I99" s="26"/>
      <c r="J99" s="26"/>
      <c r="K99" s="26"/>
      <c r="L99" s="28"/>
      <c r="M99" s="26"/>
      <c r="N99" s="26"/>
      <c r="O99" s="26"/>
      <c r="P99" s="26"/>
      <c r="Q99" s="29"/>
      <c r="R99" s="28"/>
      <c r="S99" s="1"/>
      <c r="T99" s="6"/>
      <c r="U99" s="1"/>
      <c r="V99" s="1"/>
      <c r="W99" s="1"/>
      <c r="X99" s="1"/>
      <c r="Y99" s="1"/>
      <c r="Z99" s="1"/>
      <c r="AA99" s="1"/>
    </row>
    <row r="100" spans="1:27">
      <c r="A100" s="19"/>
      <c r="B100" s="19"/>
      <c r="C100" s="21"/>
      <c r="D100" s="52"/>
      <c r="E100" s="21"/>
      <c r="F100" s="21"/>
      <c r="G100" s="21"/>
      <c r="H100" s="21"/>
      <c r="I100" s="21"/>
      <c r="J100" s="21"/>
      <c r="K100" s="52"/>
      <c r="L100" s="21"/>
      <c r="M100" s="21"/>
      <c r="N100" s="21"/>
      <c r="O100" s="21"/>
      <c r="P100" s="21"/>
      <c r="Q100" s="53"/>
      <c r="R100" s="54"/>
      <c r="S100" s="1"/>
      <c r="T100" s="6"/>
      <c r="U100" s="1"/>
      <c r="V100" s="1"/>
      <c r="W100" s="1"/>
      <c r="X100" s="1"/>
      <c r="Y100" s="1"/>
      <c r="Z100" s="1"/>
      <c r="AA100" s="1"/>
    </row>
    <row r="101" spans="1:27">
      <c r="A101" s="55"/>
      <c r="B101" s="42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7"/>
      <c r="R101" s="58"/>
      <c r="S101" s="1"/>
      <c r="T101" s="6"/>
      <c r="U101" s="1"/>
      <c r="V101" s="1"/>
      <c r="W101" s="1"/>
      <c r="X101" s="1"/>
      <c r="Y101" s="1"/>
      <c r="Z101" s="1"/>
      <c r="AA101" s="1"/>
    </row>
    <row r="102" spans="1:27">
      <c r="A102" s="25"/>
      <c r="B102" s="25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9"/>
      <c r="R102" s="28"/>
      <c r="S102" s="1"/>
      <c r="T102" s="6"/>
      <c r="U102" s="1"/>
      <c r="V102" s="1"/>
      <c r="W102" s="1"/>
      <c r="X102" s="1"/>
      <c r="Y102" s="1"/>
      <c r="Z102" s="1"/>
      <c r="AA102" s="1"/>
    </row>
    <row r="103" spans="1:27">
      <c r="A103" s="25"/>
      <c r="B103" s="25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9"/>
      <c r="R103" s="28"/>
      <c r="S103" s="1"/>
      <c r="T103" s="6"/>
      <c r="U103" s="1"/>
      <c r="V103" s="1"/>
      <c r="W103" s="1"/>
      <c r="X103" s="1"/>
      <c r="Y103" s="1"/>
      <c r="Z103" s="1"/>
      <c r="AA103" s="1"/>
    </row>
    <row r="104" spans="1:27">
      <c r="A104" s="25"/>
      <c r="B104" s="20"/>
      <c r="C104" s="26"/>
      <c r="D104" s="27"/>
      <c r="E104" s="28"/>
      <c r="F104" s="26"/>
      <c r="G104" s="26"/>
      <c r="H104" s="26"/>
      <c r="I104" s="26"/>
      <c r="J104" s="26"/>
      <c r="K104" s="26"/>
      <c r="L104" s="28"/>
      <c r="M104" s="26"/>
      <c r="N104" s="26"/>
      <c r="O104" s="26"/>
      <c r="P104" s="26"/>
      <c r="Q104" s="29"/>
      <c r="R104" s="28"/>
      <c r="S104" s="1"/>
      <c r="T104" s="6"/>
      <c r="U104" s="1"/>
      <c r="V104" s="1"/>
      <c r="W104" s="1"/>
      <c r="X104" s="1"/>
      <c r="Y104" s="1"/>
      <c r="Z104" s="1"/>
      <c r="AA104" s="1"/>
    </row>
    <row r="105" spans="1:27">
      <c r="A105" s="25"/>
      <c r="B105" s="20"/>
      <c r="C105" s="26"/>
      <c r="D105" s="27"/>
      <c r="E105" s="28"/>
      <c r="F105" s="26"/>
      <c r="G105" s="26"/>
      <c r="H105" s="26"/>
      <c r="I105" s="26"/>
      <c r="J105" s="26"/>
      <c r="K105" s="26"/>
      <c r="L105" s="28"/>
      <c r="M105" s="26"/>
      <c r="N105" s="26"/>
      <c r="O105" s="26"/>
      <c r="P105" s="26"/>
      <c r="Q105" s="29"/>
      <c r="R105" s="28"/>
      <c r="S105" s="1"/>
      <c r="T105" s="6"/>
      <c r="U105" s="1"/>
      <c r="V105" s="1"/>
      <c r="W105" s="1"/>
      <c r="X105" s="1"/>
      <c r="Y105" s="1"/>
      <c r="Z105" s="1"/>
      <c r="AA105" s="1"/>
    </row>
    <row r="106" spans="1:27">
      <c r="A106" s="25"/>
      <c r="B106" s="20"/>
      <c r="C106" s="26"/>
      <c r="D106" s="27"/>
      <c r="E106" s="28"/>
      <c r="F106" s="26"/>
      <c r="G106" s="26"/>
      <c r="H106" s="26"/>
      <c r="I106" s="26"/>
      <c r="J106" s="26"/>
      <c r="K106" s="26"/>
      <c r="L106" s="28"/>
      <c r="M106" s="26"/>
      <c r="N106" s="26"/>
      <c r="O106" s="26"/>
      <c r="P106" s="26"/>
      <c r="Q106" s="29"/>
      <c r="R106" s="28"/>
      <c r="S106" s="1"/>
      <c r="T106" s="6"/>
      <c r="U106" s="1"/>
      <c r="V106" s="1"/>
      <c r="W106" s="1"/>
      <c r="X106" s="1"/>
      <c r="Y106" s="1"/>
      <c r="Z106" s="1"/>
      <c r="AA106" s="1"/>
    </row>
    <row r="107" spans="1:27">
      <c r="A107" s="25"/>
      <c r="B107" s="20"/>
      <c r="C107" s="26"/>
      <c r="D107" s="27"/>
      <c r="E107" s="28"/>
      <c r="F107" s="26"/>
      <c r="G107" s="26"/>
      <c r="H107" s="26"/>
      <c r="I107" s="26"/>
      <c r="J107" s="26"/>
      <c r="K107" s="26"/>
      <c r="L107" s="28"/>
      <c r="M107" s="26"/>
      <c r="N107" s="26"/>
      <c r="O107" s="26"/>
      <c r="P107" s="26"/>
      <c r="Q107" s="29"/>
      <c r="R107" s="28"/>
      <c r="S107" s="1"/>
      <c r="T107" s="6"/>
      <c r="U107" s="1"/>
      <c r="V107" s="1"/>
      <c r="W107" s="1"/>
      <c r="X107" s="1"/>
      <c r="Y107" s="1"/>
      <c r="Z107" s="1"/>
      <c r="AA107" s="1"/>
    </row>
    <row r="108" spans="1:27">
      <c r="A108" s="1"/>
      <c r="B108" s="1"/>
      <c r="C108" s="2"/>
      <c r="E108" s="2"/>
      <c r="F108" s="2"/>
      <c r="G108" s="2"/>
      <c r="H108" s="2"/>
      <c r="I108" s="2"/>
      <c r="J108" s="2"/>
      <c r="L108" s="2"/>
      <c r="M108" s="2"/>
      <c r="N108" s="2"/>
      <c r="O108" s="2"/>
      <c r="P108" s="2"/>
      <c r="Q108" s="4"/>
      <c r="R108" s="5"/>
      <c r="S108" s="1"/>
      <c r="T108" s="6"/>
      <c r="U108" s="1"/>
      <c r="V108" s="1"/>
      <c r="W108" s="1"/>
      <c r="X108" s="1"/>
      <c r="Y108" s="1"/>
      <c r="Z108" s="1"/>
      <c r="AA108" s="1"/>
    </row>
    <row r="109" spans="1:27">
      <c r="A109" s="1"/>
      <c r="B109" s="1"/>
      <c r="C109" s="2"/>
      <c r="E109" s="2"/>
      <c r="F109" s="2"/>
      <c r="G109" s="2"/>
      <c r="H109" s="2"/>
      <c r="I109" s="2"/>
      <c r="J109" s="2"/>
      <c r="L109" s="2"/>
      <c r="M109" s="2"/>
      <c r="N109" s="2"/>
      <c r="O109" s="2"/>
      <c r="P109" s="2"/>
      <c r="Q109" s="4"/>
      <c r="R109" s="5"/>
      <c r="S109" s="1"/>
      <c r="T109" s="6"/>
      <c r="U109" s="1"/>
      <c r="V109" s="1"/>
      <c r="W109" s="1"/>
      <c r="X109" s="1"/>
      <c r="Y109" s="1"/>
      <c r="Z109" s="1"/>
      <c r="AA109" s="1"/>
    </row>
    <row r="110" spans="1:27">
      <c r="A110" s="1"/>
      <c r="B110" s="1"/>
      <c r="C110" s="2"/>
      <c r="E110" s="2"/>
      <c r="F110" s="2"/>
      <c r="G110" s="2"/>
      <c r="H110" s="2"/>
      <c r="I110" s="2"/>
      <c r="J110" s="2"/>
      <c r="L110" s="2"/>
      <c r="M110" s="2"/>
      <c r="N110" s="2"/>
      <c r="O110" s="2"/>
      <c r="P110" s="2"/>
      <c r="Q110" s="4"/>
      <c r="R110" s="5"/>
      <c r="S110" s="1"/>
      <c r="T110" s="6"/>
      <c r="U110" s="1"/>
      <c r="V110" s="1"/>
      <c r="W110" s="1"/>
      <c r="X110" s="1"/>
      <c r="Y110" s="1"/>
      <c r="Z110" s="1"/>
      <c r="AA110" s="1"/>
    </row>
    <row r="111" spans="1:27">
      <c r="A111" s="1"/>
      <c r="B111" s="1"/>
      <c r="C111" s="2"/>
      <c r="E111" s="2"/>
      <c r="F111" s="2"/>
      <c r="G111" s="2"/>
      <c r="H111" s="2"/>
      <c r="I111" s="2"/>
      <c r="J111" s="2"/>
      <c r="L111" s="2"/>
      <c r="M111" s="2"/>
      <c r="N111" s="2"/>
      <c r="O111" s="2"/>
      <c r="P111" s="2"/>
      <c r="Q111" s="4"/>
      <c r="R111" s="5"/>
      <c r="S111" s="1"/>
      <c r="T111" s="6"/>
      <c r="U111" s="1"/>
      <c r="V111" s="1"/>
      <c r="W111" s="1"/>
      <c r="X111" s="1"/>
      <c r="Y111" s="1"/>
      <c r="Z111" s="1"/>
      <c r="AA111" s="1"/>
    </row>
    <row r="112" spans="1:27">
      <c r="A112" s="1"/>
      <c r="B112" s="1"/>
      <c r="C112" s="2"/>
      <c r="E112" s="2"/>
      <c r="F112" s="2"/>
      <c r="G112" s="2"/>
      <c r="H112" s="2"/>
      <c r="I112" s="2"/>
      <c r="J112" s="2"/>
      <c r="L112" s="2"/>
      <c r="M112" s="2"/>
      <c r="N112" s="2"/>
      <c r="O112" s="2"/>
      <c r="P112" s="2"/>
      <c r="Q112" s="4"/>
      <c r="R112" s="5"/>
      <c r="S112" s="1"/>
      <c r="T112" s="6"/>
      <c r="U112" s="1"/>
      <c r="V112" s="1"/>
      <c r="W112" s="1"/>
      <c r="X112" s="1"/>
      <c r="Y112" s="1"/>
      <c r="Z112" s="1"/>
      <c r="AA112" s="1"/>
    </row>
    <row r="113" spans="1:27">
      <c r="A113" s="1"/>
      <c r="B113" s="1"/>
      <c r="C113" s="2"/>
      <c r="E113" s="2"/>
      <c r="F113" s="2"/>
      <c r="G113" s="2"/>
      <c r="H113" s="2"/>
      <c r="I113" s="2"/>
      <c r="J113" s="2"/>
      <c r="L113" s="2"/>
      <c r="M113" s="2"/>
      <c r="N113" s="2"/>
      <c r="O113" s="2"/>
      <c r="P113" s="2"/>
      <c r="Q113" s="4"/>
      <c r="R113" s="5"/>
      <c r="S113" s="1"/>
      <c r="T113" s="6"/>
      <c r="U113" s="1"/>
      <c r="V113" s="1"/>
      <c r="W113" s="1"/>
      <c r="X113" s="1"/>
      <c r="Y113" s="1"/>
      <c r="Z113" s="1"/>
      <c r="AA113" s="1"/>
    </row>
    <row r="114" spans="1:27">
      <c r="A114" s="1"/>
      <c r="B114" s="1"/>
      <c r="C114" s="2"/>
      <c r="E114" s="2"/>
      <c r="F114" s="2"/>
      <c r="G114" s="2"/>
      <c r="H114" s="2"/>
      <c r="I114" s="2"/>
      <c r="J114" s="2"/>
      <c r="L114" s="2"/>
      <c r="M114" s="2"/>
      <c r="N114" s="2"/>
      <c r="O114" s="2"/>
      <c r="P114" s="2"/>
      <c r="Q114" s="4"/>
      <c r="R114" s="5"/>
      <c r="S114" s="1"/>
      <c r="T114" s="6"/>
      <c r="U114" s="1"/>
      <c r="V114" s="1"/>
      <c r="W114" s="1"/>
      <c r="X114" s="1"/>
      <c r="Y114" s="1"/>
      <c r="Z114" s="1"/>
      <c r="AA114" s="1"/>
    </row>
    <row r="115" spans="1:27">
      <c r="A115" s="1"/>
      <c r="B115" s="1"/>
      <c r="C115" s="2"/>
      <c r="E115" s="2"/>
      <c r="F115" s="2"/>
      <c r="G115" s="2"/>
      <c r="H115" s="2"/>
      <c r="I115" s="2"/>
      <c r="J115" s="2"/>
      <c r="L115" s="2"/>
      <c r="M115" s="2"/>
      <c r="N115" s="2"/>
      <c r="O115" s="2"/>
      <c r="P115" s="2"/>
      <c r="Q115" s="4"/>
      <c r="R115" s="5"/>
      <c r="S115" s="1"/>
      <c r="T115" s="6"/>
      <c r="U115" s="1"/>
      <c r="V115" s="1"/>
      <c r="W115" s="1"/>
      <c r="X115" s="1"/>
      <c r="Y115" s="1"/>
      <c r="Z115" s="1"/>
      <c r="AA115" s="1"/>
    </row>
    <row r="116" spans="1:27">
      <c r="A116" s="1"/>
      <c r="B116" s="1"/>
      <c r="C116" s="2"/>
      <c r="E116" s="2"/>
      <c r="F116" s="2"/>
      <c r="G116" s="2"/>
      <c r="H116" s="2"/>
      <c r="I116" s="2"/>
      <c r="J116" s="2"/>
      <c r="L116" s="2"/>
      <c r="M116" s="2"/>
      <c r="N116" s="2"/>
      <c r="O116" s="2"/>
      <c r="P116" s="2"/>
      <c r="Q116" s="4"/>
      <c r="R116" s="5"/>
      <c r="S116" s="1"/>
      <c r="T116" s="6"/>
      <c r="U116" s="1"/>
      <c r="V116" s="1"/>
      <c r="W116" s="1"/>
      <c r="X116" s="1"/>
      <c r="Y116" s="1"/>
      <c r="Z116" s="1"/>
      <c r="AA116" s="1"/>
    </row>
    <row r="117" spans="1:27">
      <c r="A117" s="1"/>
      <c r="B117" s="1"/>
      <c r="C117" s="2"/>
      <c r="E117" s="2"/>
      <c r="F117" s="2"/>
      <c r="G117" s="2"/>
      <c r="H117" s="2"/>
      <c r="I117" s="2"/>
      <c r="J117" s="2"/>
      <c r="L117" s="2"/>
      <c r="M117" s="2"/>
      <c r="N117" s="2"/>
      <c r="O117" s="2"/>
      <c r="P117" s="2"/>
      <c r="Q117" s="4"/>
      <c r="R117" s="5"/>
      <c r="S117" s="1"/>
      <c r="T117" s="6"/>
      <c r="U117" s="1"/>
      <c r="V117" s="1"/>
      <c r="W117" s="1"/>
      <c r="X117" s="1"/>
      <c r="Y117" s="1"/>
      <c r="Z117" s="1"/>
      <c r="AA117" s="1"/>
    </row>
    <row r="118" spans="1:27">
      <c r="A118" s="1"/>
      <c r="B118" s="1"/>
      <c r="C118" s="2"/>
      <c r="E118" s="2"/>
      <c r="F118" s="2"/>
      <c r="G118" s="2"/>
      <c r="H118" s="2"/>
      <c r="I118" s="2"/>
      <c r="J118" s="2"/>
      <c r="L118" s="2"/>
      <c r="M118" s="2"/>
      <c r="N118" s="2"/>
      <c r="O118" s="2"/>
      <c r="P118" s="2"/>
      <c r="Q118" s="4"/>
      <c r="R118" s="5"/>
      <c r="S118" s="1"/>
      <c r="T118" s="6"/>
      <c r="U118" s="1"/>
      <c r="V118" s="1"/>
      <c r="W118" s="1"/>
      <c r="X118" s="1"/>
      <c r="Y118" s="1"/>
      <c r="Z118" s="1"/>
      <c r="AA118" s="1"/>
    </row>
    <row r="119" spans="1:27">
      <c r="A119" s="1"/>
      <c r="B119" s="1"/>
      <c r="C119" s="2"/>
      <c r="E119" s="2"/>
      <c r="F119" s="2"/>
      <c r="G119" s="2"/>
      <c r="H119" s="2"/>
      <c r="I119" s="2"/>
      <c r="J119" s="2"/>
      <c r="L119" s="2"/>
      <c r="M119" s="2"/>
      <c r="N119" s="2"/>
      <c r="O119" s="2"/>
      <c r="P119" s="2"/>
      <c r="Q119" s="4"/>
      <c r="R119" s="5"/>
      <c r="S119" s="1"/>
      <c r="T119" s="6"/>
      <c r="U119" s="1"/>
      <c r="V119" s="1"/>
      <c r="W119" s="1"/>
      <c r="X119" s="1"/>
      <c r="Y119" s="1"/>
      <c r="Z119" s="1"/>
      <c r="AA119" s="1"/>
    </row>
    <row r="120" spans="1:27">
      <c r="A120" s="1"/>
      <c r="B120" s="1"/>
      <c r="C120" s="2"/>
      <c r="E120" s="2"/>
      <c r="F120" s="2"/>
      <c r="G120" s="2"/>
      <c r="H120" s="2"/>
      <c r="I120" s="2"/>
      <c r="J120" s="2"/>
      <c r="L120" s="2"/>
      <c r="M120" s="2"/>
      <c r="N120" s="2"/>
      <c r="O120" s="2"/>
      <c r="P120" s="2"/>
      <c r="Q120" s="4"/>
      <c r="R120" s="5"/>
      <c r="S120" s="1"/>
      <c r="T120" s="6"/>
      <c r="U120" s="1"/>
      <c r="V120" s="1"/>
      <c r="W120" s="1"/>
      <c r="X120" s="1"/>
      <c r="Y120" s="1"/>
      <c r="Z120" s="1"/>
      <c r="AA120" s="1"/>
    </row>
    <row r="121" spans="1:27">
      <c r="A121" s="1"/>
      <c r="B121" s="1"/>
      <c r="C121" s="2"/>
      <c r="E121" s="2"/>
      <c r="F121" s="2"/>
      <c r="G121" s="2"/>
      <c r="H121" s="2"/>
      <c r="I121" s="2"/>
      <c r="J121" s="2"/>
      <c r="L121" s="2"/>
      <c r="M121" s="2"/>
      <c r="N121" s="2"/>
      <c r="O121" s="2"/>
      <c r="P121" s="2"/>
      <c r="Q121" s="4"/>
      <c r="R121" s="5"/>
      <c r="S121" s="1"/>
      <c r="T121" s="6"/>
      <c r="U121" s="1"/>
      <c r="V121" s="1"/>
      <c r="W121" s="1"/>
      <c r="X121" s="1"/>
      <c r="Y121" s="1"/>
      <c r="Z121" s="1"/>
      <c r="AA121" s="1"/>
    </row>
    <row r="122" spans="1:27">
      <c r="A122" s="1"/>
      <c r="B122" s="1"/>
      <c r="C122" s="2"/>
      <c r="E122" s="2"/>
      <c r="F122" s="2"/>
      <c r="G122" s="2"/>
      <c r="H122" s="2"/>
      <c r="I122" s="2"/>
      <c r="J122" s="2"/>
      <c r="L122" s="2"/>
      <c r="M122" s="2"/>
      <c r="N122" s="2"/>
      <c r="O122" s="2"/>
      <c r="P122" s="2"/>
      <c r="Q122" s="4"/>
      <c r="R122" s="5"/>
      <c r="S122" s="1"/>
      <c r="T122" s="6"/>
      <c r="U122" s="1"/>
      <c r="V122" s="1"/>
      <c r="W122" s="1"/>
      <c r="X122" s="1"/>
      <c r="Y122" s="1"/>
      <c r="Z122" s="1"/>
      <c r="AA122" s="1"/>
    </row>
    <row r="123" spans="1:27">
      <c r="A123" s="1"/>
      <c r="B123" s="1"/>
      <c r="C123" s="2"/>
      <c r="E123" s="2"/>
      <c r="F123" s="2"/>
      <c r="G123" s="2"/>
      <c r="H123" s="2"/>
      <c r="I123" s="2"/>
      <c r="J123" s="2"/>
      <c r="L123" s="2"/>
      <c r="M123" s="2"/>
      <c r="N123" s="2"/>
      <c r="O123" s="2"/>
      <c r="P123" s="2"/>
      <c r="Q123" s="4"/>
      <c r="R123" s="5"/>
      <c r="S123" s="1"/>
      <c r="T123" s="6"/>
      <c r="U123" s="1"/>
      <c r="V123" s="1"/>
      <c r="W123" s="1"/>
      <c r="X123" s="1"/>
      <c r="Y123" s="1"/>
      <c r="Z123" s="1"/>
      <c r="AA123" s="1"/>
    </row>
    <row r="124" spans="1:27">
      <c r="A124" s="1"/>
      <c r="B124" s="1"/>
      <c r="C124" s="2"/>
      <c r="E124" s="2"/>
      <c r="F124" s="2"/>
      <c r="G124" s="2"/>
      <c r="H124" s="2"/>
      <c r="I124" s="2"/>
      <c r="J124" s="2"/>
      <c r="L124" s="2"/>
      <c r="M124" s="2"/>
      <c r="N124" s="2"/>
      <c r="O124" s="2"/>
      <c r="P124" s="2"/>
      <c r="Q124" s="4"/>
      <c r="R124" s="5"/>
      <c r="S124" s="1"/>
      <c r="T124" s="6"/>
      <c r="U124" s="1"/>
      <c r="V124" s="1"/>
      <c r="W124" s="1"/>
      <c r="X124" s="1"/>
      <c r="Y124" s="1"/>
      <c r="Z124" s="1"/>
      <c r="AA124" s="1"/>
    </row>
    <row r="125" spans="1:27">
      <c r="A125" s="1"/>
      <c r="B125" s="1"/>
      <c r="C125" s="2"/>
      <c r="E125" s="2"/>
      <c r="F125" s="2"/>
      <c r="G125" s="2"/>
      <c r="H125" s="2"/>
      <c r="I125" s="2"/>
      <c r="J125" s="2"/>
      <c r="L125" s="2"/>
      <c r="M125" s="2"/>
      <c r="N125" s="2"/>
      <c r="O125" s="2"/>
      <c r="P125" s="2"/>
      <c r="Q125" s="4"/>
      <c r="R125" s="5"/>
      <c r="S125" s="1"/>
      <c r="T125" s="6"/>
      <c r="U125" s="1"/>
      <c r="V125" s="1"/>
      <c r="W125" s="1"/>
      <c r="X125" s="1"/>
      <c r="Y125" s="1"/>
      <c r="Z125" s="1"/>
      <c r="AA125" s="1"/>
    </row>
    <row r="126" spans="1:27">
      <c r="A126" s="1"/>
      <c r="B126" s="1"/>
      <c r="C126" s="2"/>
      <c r="E126" s="2"/>
      <c r="F126" s="2"/>
      <c r="G126" s="2"/>
      <c r="H126" s="2"/>
      <c r="I126" s="2"/>
      <c r="J126" s="2"/>
      <c r="L126" s="2"/>
      <c r="M126" s="2"/>
      <c r="N126" s="2"/>
      <c r="O126" s="2"/>
      <c r="P126" s="2"/>
      <c r="Q126" s="4"/>
      <c r="R126" s="5"/>
      <c r="S126" s="1"/>
      <c r="T126" s="6"/>
      <c r="U126" s="1"/>
      <c r="V126" s="1"/>
      <c r="W126" s="1"/>
      <c r="X126" s="1"/>
      <c r="Y126" s="1"/>
      <c r="Z126" s="1"/>
      <c r="AA126" s="1"/>
    </row>
    <row r="127" spans="1:27">
      <c r="A127" s="1"/>
      <c r="B127" s="1"/>
      <c r="C127" s="2"/>
      <c r="E127" s="2"/>
      <c r="F127" s="2"/>
      <c r="G127" s="2"/>
      <c r="H127" s="2"/>
      <c r="I127" s="2"/>
      <c r="J127" s="2"/>
      <c r="L127" s="2"/>
      <c r="M127" s="2"/>
      <c r="N127" s="2"/>
      <c r="O127" s="2"/>
      <c r="P127" s="2"/>
      <c r="Q127" s="4"/>
      <c r="R127" s="5"/>
      <c r="S127" s="1"/>
      <c r="T127" s="6"/>
      <c r="U127" s="1"/>
      <c r="V127" s="1"/>
      <c r="W127" s="1"/>
      <c r="X127" s="1"/>
      <c r="Y127" s="1"/>
      <c r="Z127" s="1"/>
      <c r="AA127" s="1"/>
    </row>
    <row r="128" spans="1:27">
      <c r="A128" s="1"/>
      <c r="B128" s="1"/>
      <c r="C128" s="2"/>
      <c r="E128" s="2"/>
      <c r="F128" s="2"/>
      <c r="G128" s="2"/>
      <c r="H128" s="2"/>
      <c r="I128" s="2"/>
      <c r="J128" s="2"/>
      <c r="L128" s="2"/>
      <c r="M128" s="2"/>
      <c r="N128" s="2"/>
      <c r="O128" s="2"/>
      <c r="P128" s="2"/>
      <c r="Q128" s="4"/>
      <c r="R128" s="5"/>
      <c r="S128" s="1"/>
      <c r="T128" s="6"/>
      <c r="U128" s="1"/>
      <c r="V128" s="1"/>
      <c r="W128" s="1"/>
      <c r="X128" s="1"/>
      <c r="Y128" s="1"/>
      <c r="Z128" s="1"/>
      <c r="AA128" s="1"/>
    </row>
    <row r="129" spans="1:27">
      <c r="A129" s="1"/>
      <c r="B129" s="1"/>
      <c r="C129" s="2"/>
      <c r="E129" s="2"/>
      <c r="F129" s="2"/>
      <c r="G129" s="2"/>
      <c r="H129" s="2"/>
      <c r="I129" s="2"/>
      <c r="J129" s="2"/>
      <c r="L129" s="2"/>
      <c r="M129" s="2"/>
      <c r="N129" s="2"/>
      <c r="O129" s="2"/>
      <c r="P129" s="2"/>
      <c r="Q129" s="4"/>
      <c r="R129" s="5"/>
      <c r="S129" s="1"/>
      <c r="T129" s="6"/>
      <c r="U129" s="1"/>
      <c r="V129" s="1"/>
      <c r="W129" s="1"/>
      <c r="X129" s="1"/>
      <c r="Y129" s="1"/>
      <c r="Z129" s="1"/>
      <c r="AA129" s="1"/>
    </row>
    <row r="130" spans="1:27">
      <c r="A130" s="1"/>
      <c r="B130" s="1"/>
      <c r="C130" s="2"/>
      <c r="E130" s="2"/>
      <c r="F130" s="2"/>
      <c r="G130" s="2"/>
      <c r="H130" s="2"/>
      <c r="I130" s="2"/>
      <c r="J130" s="2"/>
      <c r="L130" s="2"/>
      <c r="M130" s="2"/>
      <c r="N130" s="2"/>
      <c r="O130" s="2"/>
      <c r="P130" s="2"/>
      <c r="Q130" s="4"/>
      <c r="R130" s="5"/>
      <c r="S130" s="1"/>
      <c r="T130" s="6"/>
      <c r="U130" s="1"/>
      <c r="V130" s="1"/>
      <c r="W130" s="1"/>
      <c r="X130" s="1"/>
      <c r="Y130" s="1"/>
      <c r="Z130" s="1"/>
      <c r="AA130" s="1"/>
    </row>
    <row r="131" spans="1:27">
      <c r="A131" s="1"/>
      <c r="B131" s="1"/>
      <c r="C131" s="2"/>
      <c r="E131" s="2"/>
      <c r="F131" s="2"/>
      <c r="G131" s="2"/>
      <c r="H131" s="2"/>
      <c r="I131" s="2"/>
      <c r="J131" s="2"/>
      <c r="L131" s="2"/>
      <c r="M131" s="2"/>
      <c r="N131" s="2"/>
      <c r="O131" s="2"/>
      <c r="P131" s="2"/>
      <c r="Q131" s="4"/>
      <c r="R131" s="5"/>
      <c r="S131" s="1"/>
      <c r="T131" s="6"/>
      <c r="U131" s="1"/>
      <c r="V131" s="1"/>
      <c r="W131" s="1"/>
      <c r="X131" s="1"/>
      <c r="Y131" s="1"/>
      <c r="Z131" s="1"/>
      <c r="AA131" s="1"/>
    </row>
    <row r="132" spans="1:27">
      <c r="A132" s="1"/>
      <c r="B132" s="1"/>
      <c r="C132" s="2"/>
      <c r="E132" s="2"/>
      <c r="F132" s="2"/>
      <c r="G132" s="2"/>
      <c r="H132" s="2"/>
      <c r="I132" s="2"/>
      <c r="J132" s="2"/>
      <c r="L132" s="2"/>
      <c r="M132" s="2"/>
      <c r="N132" s="2"/>
      <c r="O132" s="2"/>
      <c r="P132" s="2"/>
      <c r="Q132" s="4"/>
      <c r="R132" s="5"/>
      <c r="S132" s="1"/>
      <c r="T132" s="6"/>
      <c r="U132" s="1"/>
      <c r="V132" s="1"/>
      <c r="W132" s="1"/>
      <c r="X132" s="1"/>
      <c r="Y132" s="1"/>
      <c r="Z132" s="1"/>
      <c r="AA132" s="1"/>
    </row>
    <row r="133" spans="1:27">
      <c r="A133" s="1"/>
      <c r="B133" s="1"/>
      <c r="C133" s="2"/>
      <c r="E133" s="2"/>
      <c r="F133" s="2"/>
      <c r="G133" s="2"/>
      <c r="H133" s="2"/>
      <c r="I133" s="2"/>
      <c r="J133" s="2"/>
      <c r="L133" s="2"/>
      <c r="M133" s="2"/>
      <c r="N133" s="2"/>
      <c r="O133" s="2"/>
      <c r="P133" s="2"/>
      <c r="Q133" s="4"/>
      <c r="R133" s="5"/>
      <c r="S133" s="1"/>
      <c r="T133" s="6"/>
      <c r="U133" s="1"/>
      <c r="V133" s="1"/>
      <c r="W133" s="1"/>
      <c r="X133" s="1"/>
      <c r="Y133" s="1"/>
      <c r="Z133" s="1"/>
      <c r="AA133" s="1"/>
    </row>
    <row r="134" spans="1:27">
      <c r="A134" s="1"/>
      <c r="B134" s="1"/>
      <c r="C134" s="2"/>
      <c r="E134" s="2"/>
      <c r="F134" s="2"/>
      <c r="G134" s="2"/>
      <c r="H134" s="2"/>
      <c r="I134" s="2"/>
      <c r="J134" s="2"/>
      <c r="L134" s="2"/>
      <c r="M134" s="2"/>
      <c r="N134" s="2"/>
      <c r="O134" s="2"/>
      <c r="P134" s="2"/>
      <c r="Q134" s="4"/>
      <c r="R134" s="5"/>
      <c r="S134" s="1"/>
      <c r="T134" s="6"/>
      <c r="U134" s="1"/>
      <c r="V134" s="1"/>
      <c r="W134" s="1"/>
      <c r="X134" s="1"/>
      <c r="Y134" s="1"/>
      <c r="Z134" s="1"/>
      <c r="AA134" s="1"/>
    </row>
    <row r="135" spans="1:27">
      <c r="A135" s="1"/>
      <c r="B135" s="1"/>
      <c r="C135" s="2"/>
      <c r="E135" s="2"/>
      <c r="F135" s="2"/>
      <c r="G135" s="2"/>
      <c r="H135" s="2"/>
      <c r="I135" s="2"/>
      <c r="J135" s="2"/>
      <c r="L135" s="2"/>
      <c r="M135" s="2"/>
      <c r="N135" s="2"/>
      <c r="O135" s="2"/>
      <c r="P135" s="2"/>
      <c r="Q135" s="4"/>
      <c r="R135" s="5"/>
      <c r="S135" s="1"/>
      <c r="T135" s="6"/>
      <c r="U135" s="1"/>
      <c r="V135" s="1"/>
      <c r="W135" s="1"/>
      <c r="X135" s="1"/>
      <c r="Y135" s="1"/>
      <c r="Z135" s="1"/>
      <c r="AA135" s="1"/>
    </row>
    <row r="136" spans="1:27">
      <c r="A136" s="1"/>
      <c r="B136" s="1"/>
      <c r="C136" s="2"/>
      <c r="E136" s="2"/>
      <c r="F136" s="2"/>
      <c r="G136" s="2"/>
      <c r="H136" s="2"/>
      <c r="I136" s="2"/>
      <c r="J136" s="2"/>
      <c r="L136" s="2"/>
      <c r="M136" s="2"/>
      <c r="N136" s="2"/>
      <c r="O136" s="2"/>
      <c r="P136" s="2"/>
      <c r="Q136" s="4"/>
      <c r="R136" s="5"/>
      <c r="S136" s="1"/>
      <c r="T136" s="6"/>
      <c r="U136" s="1"/>
      <c r="V136" s="1"/>
      <c r="W136" s="1"/>
      <c r="X136" s="1"/>
      <c r="Y136" s="1"/>
      <c r="Z136" s="1"/>
      <c r="AA136" s="1"/>
    </row>
    <row r="137" spans="1:27">
      <c r="A137" s="1"/>
      <c r="B137" s="1"/>
      <c r="C137" s="2"/>
      <c r="E137" s="2"/>
      <c r="F137" s="2"/>
      <c r="G137" s="2"/>
      <c r="H137" s="2"/>
      <c r="I137" s="2"/>
      <c r="J137" s="2"/>
      <c r="L137" s="2"/>
      <c r="M137" s="2"/>
      <c r="N137" s="2"/>
      <c r="O137" s="2"/>
      <c r="P137" s="2"/>
      <c r="Q137" s="4"/>
      <c r="R137" s="5"/>
      <c r="S137" s="1"/>
      <c r="T137" s="6"/>
      <c r="U137" s="1"/>
      <c r="V137" s="1"/>
      <c r="W137" s="1"/>
      <c r="X137" s="1"/>
      <c r="Y137" s="1"/>
      <c r="Z137" s="1"/>
      <c r="AA137" s="1"/>
    </row>
    <row r="138" spans="1:27">
      <c r="A138" s="1"/>
      <c r="B138" s="1"/>
      <c r="C138" s="2"/>
      <c r="E138" s="2"/>
      <c r="F138" s="2"/>
      <c r="G138" s="2"/>
      <c r="H138" s="2"/>
      <c r="I138" s="2"/>
      <c r="J138" s="2"/>
      <c r="L138" s="2"/>
      <c r="M138" s="2"/>
      <c r="N138" s="2"/>
      <c r="O138" s="2"/>
      <c r="P138" s="2"/>
      <c r="Q138" s="4"/>
      <c r="R138" s="5"/>
      <c r="S138" s="1"/>
      <c r="T138" s="6"/>
      <c r="U138" s="1"/>
      <c r="V138" s="1"/>
      <c r="W138" s="1"/>
      <c r="X138" s="1"/>
      <c r="Y138" s="1"/>
      <c r="Z138" s="1"/>
      <c r="AA138" s="1"/>
    </row>
    <row r="139" spans="1:27">
      <c r="A139" s="1"/>
      <c r="B139" s="1"/>
      <c r="C139" s="2"/>
      <c r="E139" s="2"/>
      <c r="F139" s="2"/>
      <c r="G139" s="2"/>
      <c r="H139" s="2"/>
      <c r="I139" s="2"/>
      <c r="J139" s="2"/>
      <c r="L139" s="2"/>
      <c r="M139" s="2"/>
      <c r="N139" s="2"/>
      <c r="O139" s="2"/>
      <c r="P139" s="2"/>
      <c r="Q139" s="4"/>
      <c r="R139" s="5"/>
      <c r="S139" s="1"/>
      <c r="T139" s="6"/>
      <c r="U139" s="1"/>
      <c r="V139" s="1"/>
      <c r="W139" s="1"/>
      <c r="X139" s="1"/>
      <c r="Y139" s="1"/>
      <c r="Z139" s="1"/>
      <c r="AA139" s="1"/>
    </row>
    <row r="140" spans="1:27">
      <c r="A140" s="1"/>
      <c r="B140" s="1"/>
      <c r="C140" s="2"/>
      <c r="E140" s="2"/>
      <c r="F140" s="2"/>
      <c r="G140" s="2"/>
      <c r="H140" s="2"/>
      <c r="I140" s="2"/>
      <c r="J140" s="2"/>
      <c r="L140" s="2"/>
      <c r="M140" s="2"/>
      <c r="N140" s="2"/>
      <c r="O140" s="2"/>
      <c r="P140" s="2"/>
      <c r="Q140" s="4"/>
      <c r="R140" s="5"/>
      <c r="S140" s="1"/>
      <c r="T140" s="6"/>
      <c r="U140" s="1"/>
      <c r="V140" s="1"/>
      <c r="W140" s="1"/>
      <c r="X140" s="1"/>
      <c r="Y140" s="1"/>
      <c r="Z140" s="1"/>
      <c r="AA140" s="1"/>
    </row>
    <row r="141" spans="1:27">
      <c r="A141" s="1"/>
      <c r="B141" s="1"/>
      <c r="C141" s="2"/>
      <c r="E141" s="2"/>
      <c r="F141" s="2"/>
      <c r="G141" s="2"/>
      <c r="H141" s="2"/>
      <c r="I141" s="2"/>
      <c r="J141" s="2"/>
      <c r="L141" s="2"/>
      <c r="M141" s="2"/>
      <c r="N141" s="2"/>
      <c r="O141" s="2"/>
      <c r="P141" s="2"/>
      <c r="Q141" s="4"/>
      <c r="R141" s="5"/>
      <c r="S141" s="1"/>
      <c r="T141" s="6"/>
      <c r="U141" s="1"/>
      <c r="V141" s="1"/>
      <c r="W141" s="1"/>
      <c r="X141" s="1"/>
      <c r="Y141" s="1"/>
      <c r="Z141" s="1"/>
      <c r="AA141" s="1"/>
    </row>
    <row r="142" spans="1:27">
      <c r="A142" s="1"/>
      <c r="B142" s="1"/>
      <c r="C142" s="2"/>
      <c r="E142" s="2"/>
      <c r="F142" s="2"/>
      <c r="G142" s="2"/>
      <c r="H142" s="2"/>
      <c r="I142" s="2"/>
      <c r="J142" s="2"/>
      <c r="L142" s="2"/>
      <c r="M142" s="2"/>
      <c r="N142" s="2"/>
      <c r="O142" s="2"/>
      <c r="P142" s="2"/>
      <c r="Q142" s="4"/>
      <c r="R142" s="5"/>
      <c r="S142" s="1"/>
      <c r="T142" s="6"/>
      <c r="U142" s="1"/>
      <c r="V142" s="1"/>
      <c r="W142" s="1"/>
      <c r="X142" s="1"/>
      <c r="Y142" s="1"/>
      <c r="Z142" s="1"/>
      <c r="AA142" s="1"/>
    </row>
    <row r="143" spans="1:27">
      <c r="A143" s="1"/>
      <c r="B143" s="1"/>
      <c r="C143" s="2"/>
      <c r="E143" s="2"/>
      <c r="F143" s="2"/>
      <c r="G143" s="2"/>
      <c r="H143" s="2"/>
      <c r="I143" s="2"/>
      <c r="J143" s="2"/>
      <c r="L143" s="2"/>
      <c r="M143" s="2"/>
      <c r="N143" s="2"/>
      <c r="O143" s="2"/>
      <c r="P143" s="2"/>
      <c r="Q143" s="4"/>
      <c r="R143" s="5"/>
      <c r="S143" s="1"/>
      <c r="T143" s="6"/>
      <c r="U143" s="1"/>
      <c r="V143" s="1"/>
      <c r="W143" s="1"/>
      <c r="X143" s="1"/>
      <c r="Y143" s="1"/>
      <c r="Z143" s="1"/>
      <c r="AA143" s="1"/>
    </row>
    <row r="144" spans="1:27">
      <c r="A144" s="1"/>
      <c r="B144" s="1"/>
      <c r="C144" s="2"/>
      <c r="E144" s="2"/>
      <c r="F144" s="2"/>
      <c r="G144" s="2"/>
      <c r="H144" s="2"/>
      <c r="I144" s="2"/>
      <c r="J144" s="2"/>
      <c r="L144" s="2"/>
      <c r="M144" s="2"/>
      <c r="N144" s="2"/>
      <c r="O144" s="2"/>
      <c r="P144" s="2"/>
      <c r="Q144" s="4"/>
      <c r="R144" s="5"/>
      <c r="S144" s="1"/>
      <c r="T144" s="6"/>
      <c r="U144" s="1"/>
      <c r="V144" s="1"/>
      <c r="W144" s="1"/>
      <c r="X144" s="1"/>
      <c r="Y144" s="1"/>
      <c r="Z144" s="1"/>
      <c r="AA144" s="1"/>
    </row>
    <row r="145" spans="1:27">
      <c r="A145" s="1"/>
      <c r="B145" s="1"/>
      <c r="C145" s="2"/>
      <c r="E145" s="2"/>
      <c r="F145" s="2"/>
      <c r="G145" s="2"/>
      <c r="H145" s="2"/>
      <c r="I145" s="2"/>
      <c r="J145" s="2"/>
      <c r="L145" s="2"/>
      <c r="M145" s="2"/>
      <c r="N145" s="2"/>
      <c r="O145" s="2"/>
      <c r="P145" s="2"/>
      <c r="Q145" s="4"/>
      <c r="R145" s="5"/>
      <c r="S145" s="1"/>
      <c r="T145" s="6"/>
      <c r="U145" s="1"/>
      <c r="V145" s="1"/>
      <c r="W145" s="1"/>
      <c r="X145" s="1"/>
      <c r="Y145" s="1"/>
      <c r="Z145" s="1"/>
      <c r="AA145" s="1"/>
    </row>
    <row r="146" spans="1:27">
      <c r="A146" s="1"/>
      <c r="B146" s="1"/>
      <c r="C146" s="2"/>
      <c r="E146" s="2"/>
      <c r="F146" s="2"/>
      <c r="G146" s="2"/>
      <c r="H146" s="2"/>
      <c r="I146" s="2"/>
      <c r="J146" s="2"/>
      <c r="L146" s="2"/>
      <c r="M146" s="2"/>
      <c r="N146" s="2"/>
      <c r="O146" s="2"/>
      <c r="P146" s="2"/>
      <c r="Q146" s="4"/>
      <c r="R146" s="5"/>
      <c r="S146" s="1"/>
      <c r="T146" s="6"/>
      <c r="U146" s="1"/>
      <c r="V146" s="1"/>
      <c r="W146" s="1"/>
      <c r="X146" s="1"/>
      <c r="Y146" s="1"/>
      <c r="Z146" s="1"/>
      <c r="AA146" s="1"/>
    </row>
    <row r="147" spans="1:27">
      <c r="A147" s="1"/>
      <c r="B147" s="1"/>
      <c r="C147" s="2"/>
      <c r="E147" s="2"/>
      <c r="F147" s="2"/>
      <c r="G147" s="2"/>
      <c r="H147" s="2"/>
      <c r="I147" s="2"/>
      <c r="J147" s="2"/>
      <c r="L147" s="2"/>
      <c r="M147" s="2"/>
      <c r="N147" s="2"/>
      <c r="O147" s="2"/>
      <c r="P147" s="2"/>
      <c r="Q147" s="4"/>
      <c r="R147" s="5"/>
      <c r="S147" s="1"/>
      <c r="T147" s="6"/>
      <c r="U147" s="1"/>
      <c r="V147" s="1"/>
      <c r="W147" s="1"/>
      <c r="X147" s="1"/>
      <c r="Y147" s="1"/>
      <c r="Z147" s="1"/>
      <c r="AA147" s="1"/>
    </row>
    <row r="148" spans="1:27">
      <c r="A148" s="1"/>
      <c r="B148" s="1"/>
      <c r="C148" s="2"/>
      <c r="E148" s="2"/>
      <c r="F148" s="2"/>
      <c r="G148" s="2"/>
      <c r="H148" s="2"/>
      <c r="I148" s="2"/>
      <c r="J148" s="2"/>
      <c r="L148" s="2"/>
      <c r="M148" s="2"/>
      <c r="N148" s="2"/>
      <c r="O148" s="2"/>
      <c r="P148" s="2"/>
      <c r="Q148" s="4"/>
      <c r="R148" s="5"/>
      <c r="S148" s="1"/>
      <c r="T148" s="6"/>
      <c r="U148" s="1"/>
      <c r="V148" s="1"/>
      <c r="W148" s="1"/>
      <c r="X148" s="1"/>
      <c r="Y148" s="1"/>
      <c r="Z148" s="1"/>
      <c r="AA148" s="1"/>
    </row>
    <row r="149" spans="1:27">
      <c r="A149" s="1"/>
      <c r="B149" s="1"/>
      <c r="C149" s="2"/>
      <c r="E149" s="2"/>
      <c r="F149" s="2"/>
      <c r="G149" s="2"/>
      <c r="H149" s="2"/>
      <c r="I149" s="2"/>
      <c r="J149" s="2"/>
      <c r="L149" s="2"/>
      <c r="M149" s="2"/>
      <c r="N149" s="2"/>
      <c r="O149" s="2"/>
      <c r="P149" s="2"/>
      <c r="Q149" s="4"/>
      <c r="R149" s="5"/>
      <c r="S149" s="1"/>
      <c r="T149" s="6"/>
      <c r="U149" s="1"/>
      <c r="V149" s="1"/>
      <c r="W149" s="1"/>
      <c r="X149" s="1"/>
      <c r="Y149" s="1"/>
      <c r="Z149" s="1"/>
      <c r="AA149" s="1"/>
    </row>
    <row r="150" spans="1:27">
      <c r="A150" s="1"/>
      <c r="B150" s="1"/>
      <c r="C150" s="2"/>
      <c r="E150" s="2"/>
      <c r="F150" s="2"/>
      <c r="G150" s="2"/>
      <c r="H150" s="2"/>
      <c r="I150" s="2"/>
      <c r="J150" s="2"/>
      <c r="L150" s="2"/>
      <c r="M150" s="2"/>
      <c r="N150" s="2"/>
      <c r="O150" s="2"/>
      <c r="P150" s="2"/>
      <c r="Q150" s="4"/>
      <c r="R150" s="5"/>
      <c r="S150" s="1"/>
      <c r="T150" s="6"/>
      <c r="U150" s="1"/>
      <c r="V150" s="1"/>
      <c r="W150" s="1"/>
      <c r="X150" s="1"/>
      <c r="Y150" s="1"/>
      <c r="Z150" s="1"/>
      <c r="AA150" s="1"/>
    </row>
    <row r="151" spans="1:27">
      <c r="A151" s="1"/>
      <c r="B151" s="1"/>
      <c r="C151" s="2"/>
      <c r="E151" s="2"/>
      <c r="F151" s="2"/>
      <c r="G151" s="2"/>
      <c r="H151" s="2"/>
      <c r="I151" s="2"/>
      <c r="J151" s="2"/>
      <c r="L151" s="2"/>
      <c r="M151" s="2"/>
      <c r="N151" s="2"/>
      <c r="O151" s="2"/>
      <c r="P151" s="2"/>
      <c r="Q151" s="4"/>
      <c r="R151" s="5"/>
      <c r="S151" s="1"/>
      <c r="T151" s="6"/>
      <c r="U151" s="1"/>
      <c r="V151" s="1"/>
      <c r="W151" s="1"/>
      <c r="X151" s="1"/>
      <c r="Y151" s="1"/>
      <c r="Z151" s="1"/>
      <c r="AA151" s="1"/>
    </row>
    <row r="152" spans="1:27">
      <c r="S152" s="1"/>
      <c r="T152" s="6"/>
      <c r="U152" s="1"/>
      <c r="V152" s="1"/>
      <c r="W152" s="1"/>
      <c r="X152" s="1"/>
      <c r="Y152" s="1"/>
      <c r="Z152" s="1"/>
      <c r="AA152" s="1"/>
    </row>
    <row r="153" spans="1:27">
      <c r="S153" s="1"/>
      <c r="T153" s="6"/>
      <c r="U153" s="1"/>
      <c r="V153" s="1"/>
      <c r="W153" s="1"/>
      <c r="X153" s="1"/>
      <c r="Y153" s="1"/>
      <c r="Z153" s="1"/>
      <c r="AA153" s="1"/>
    </row>
    <row r="154" spans="1:27">
      <c r="S154" s="1"/>
      <c r="T154" s="6"/>
      <c r="U154" s="1"/>
      <c r="V154" s="1"/>
      <c r="W154" s="1"/>
      <c r="X154" s="1"/>
      <c r="Y154" s="1"/>
      <c r="Z154" s="1"/>
      <c r="AA154" s="1"/>
    </row>
    <row r="155" spans="1:27">
      <c r="S155" s="1"/>
      <c r="T155" s="6"/>
      <c r="U155" s="1"/>
      <c r="V155" s="1"/>
      <c r="W155" s="1"/>
      <c r="X155" s="1"/>
      <c r="Y155" s="1"/>
      <c r="Z155" s="1"/>
      <c r="AA155" s="1"/>
    </row>
    <row r="156" spans="1:27">
      <c r="S156" s="1"/>
      <c r="T156" s="6"/>
      <c r="U156" s="1"/>
      <c r="V156" s="1"/>
      <c r="W156" s="1"/>
      <c r="X156" s="1"/>
      <c r="Y156" s="1"/>
      <c r="Z156" s="1"/>
      <c r="AA156" s="1"/>
    </row>
  </sheetData>
  <phoneticPr fontId="11" type="noConversion"/>
  <printOptions horizontalCentered="1"/>
  <pageMargins left="0.2" right="0.2" top="0.65" bottom="0.2" header="0" footer="0"/>
  <pageSetup paperSize="9" scale="82" firstPageNumber="0" orientation="landscape" horizontalDpi="300" verticalDpi="300" r:id="rId1"/>
  <headerFooter alignWithMargins="0"/>
  <rowBreaks count="2" manualBreakCount="2">
    <brk id="49" max="17" man="1"/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R110"/>
  <sheetViews>
    <sheetView view="pageBreakPreview" zoomScale="70" zoomScaleSheetLayoutView="70" workbookViewId="0"/>
  </sheetViews>
  <sheetFormatPr defaultRowHeight="15"/>
  <cols>
    <col min="1" max="1" width="5.28515625" style="44" customWidth="1"/>
    <col min="2" max="2" width="25" style="44" customWidth="1"/>
    <col min="3" max="3" width="6" style="44" customWidth="1"/>
    <col min="4" max="4" width="5.28515625" style="44" customWidth="1"/>
    <col min="5" max="5" width="5.42578125" style="44" customWidth="1"/>
    <col min="6" max="6" width="5" style="44" customWidth="1"/>
    <col min="7" max="7" width="7.7109375" style="44" customWidth="1"/>
    <col min="8" max="8" width="6.5703125" style="44" customWidth="1"/>
    <col min="9" max="9" width="9.140625" style="44" customWidth="1"/>
    <col min="10" max="10" width="7.140625" style="44" customWidth="1"/>
    <col min="11" max="11" width="5.5703125" style="44" customWidth="1"/>
    <col min="12" max="12" width="6.7109375" style="44" customWidth="1"/>
    <col min="13" max="13" width="7.42578125" style="44" customWidth="1"/>
    <col min="14" max="14" width="6.140625" style="44" customWidth="1"/>
    <col min="15" max="15" width="7.42578125" style="44" customWidth="1"/>
    <col min="16" max="16384" width="9.140625" style="44"/>
  </cols>
  <sheetData>
    <row r="2" spans="1:18" s="46" customFormat="1">
      <c r="A2" s="47" t="s">
        <v>81</v>
      </c>
      <c r="B2" s="47"/>
      <c r="C2" s="47"/>
      <c r="D2" s="47"/>
      <c r="E2" s="47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8" s="24" customFormat="1" ht="15.75" thickBo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8" s="24" customFormat="1">
      <c r="A4" s="96" t="s">
        <v>0</v>
      </c>
      <c r="B4" s="97" t="s">
        <v>1</v>
      </c>
      <c r="C4" s="97" t="s">
        <v>2</v>
      </c>
      <c r="D4" s="114" t="s">
        <v>3</v>
      </c>
      <c r="E4" s="114" t="s">
        <v>3</v>
      </c>
      <c r="F4" s="134" t="s">
        <v>33</v>
      </c>
      <c r="G4" s="134"/>
      <c r="H4" s="134" t="s">
        <v>34</v>
      </c>
      <c r="I4" s="134"/>
      <c r="J4" s="134"/>
      <c r="K4" s="134"/>
      <c r="L4" s="134"/>
      <c r="M4" s="134"/>
      <c r="N4" s="134"/>
      <c r="O4" s="135"/>
    </row>
    <row r="5" spans="1:18" s="24" customFormat="1">
      <c r="A5" s="93" t="s">
        <v>17</v>
      </c>
      <c r="B5" s="61" t="s">
        <v>35</v>
      </c>
      <c r="C5" s="61" t="s">
        <v>19</v>
      </c>
      <c r="D5" s="78" t="s">
        <v>36</v>
      </c>
      <c r="E5" s="78" t="s">
        <v>37</v>
      </c>
      <c r="F5" s="78" t="s">
        <v>38</v>
      </c>
      <c r="G5" s="78" t="s">
        <v>39</v>
      </c>
      <c r="H5" s="78" t="s">
        <v>40</v>
      </c>
      <c r="I5" s="78" t="s">
        <v>39</v>
      </c>
      <c r="J5" s="78" t="s">
        <v>41</v>
      </c>
      <c r="K5" s="78" t="s">
        <v>42</v>
      </c>
      <c r="L5" s="78" t="s">
        <v>43</v>
      </c>
      <c r="M5" s="78" t="s">
        <v>44</v>
      </c>
      <c r="N5" s="78" t="s">
        <v>45</v>
      </c>
      <c r="O5" s="98" t="s">
        <v>46</v>
      </c>
      <c r="R5" s="21"/>
    </row>
    <row r="6" spans="1:18" s="24" customFormat="1" ht="12" customHeight="1">
      <c r="A6" s="93"/>
      <c r="B6" s="61" t="s">
        <v>47</v>
      </c>
      <c r="C6" s="61" t="s">
        <v>48</v>
      </c>
      <c r="D6" s="78" t="s">
        <v>20</v>
      </c>
      <c r="E6" s="78" t="s">
        <v>20</v>
      </c>
      <c r="F6" s="78" t="s">
        <v>20</v>
      </c>
      <c r="G6" s="78" t="s">
        <v>23</v>
      </c>
      <c r="H6" s="78"/>
      <c r="I6" s="78" t="s">
        <v>23</v>
      </c>
      <c r="J6" s="78" t="s">
        <v>24</v>
      </c>
      <c r="K6" s="78" t="s">
        <v>20</v>
      </c>
      <c r="L6" s="78"/>
      <c r="M6" s="78"/>
      <c r="N6" s="78"/>
      <c r="O6" s="98" t="s">
        <v>24</v>
      </c>
    </row>
    <row r="7" spans="1:18" s="24" customFormat="1" ht="12" customHeight="1">
      <c r="A7" s="93" t="s">
        <v>49</v>
      </c>
      <c r="B7" s="62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94"/>
    </row>
    <row r="8" spans="1:18" s="24" customFormat="1" ht="12" customHeight="1">
      <c r="A8" s="93">
        <v>1</v>
      </c>
      <c r="B8" s="61" t="s">
        <v>32</v>
      </c>
      <c r="C8" s="61">
        <v>0.5</v>
      </c>
      <c r="D8" s="73">
        <f t="shared" ref="D8:D9" si="0">0.33*0.4*C8^0.5+0.001*C8</f>
        <v>9.383809511662429E-2</v>
      </c>
      <c r="E8" s="73">
        <f>D8+0.17</f>
        <v>0.26383809511662432</v>
      </c>
      <c r="F8" s="61"/>
      <c r="G8" s="78"/>
      <c r="H8" s="95">
        <v>3.5000000000000003E-2</v>
      </c>
      <c r="I8" s="61">
        <v>32</v>
      </c>
      <c r="J8" s="73">
        <v>0.85</v>
      </c>
      <c r="K8" s="73">
        <v>0.53</v>
      </c>
      <c r="L8" s="73">
        <f>E8/K8</f>
        <v>0.49780772663514017</v>
      </c>
      <c r="M8" s="73">
        <v>0.5</v>
      </c>
      <c r="N8" s="73">
        <v>1</v>
      </c>
      <c r="O8" s="99">
        <f>N8*J8</f>
        <v>0.85</v>
      </c>
    </row>
    <row r="9" spans="1:18" s="24" customFormat="1" ht="12" customHeight="1">
      <c r="A9" s="93">
        <v>2</v>
      </c>
      <c r="B9" s="61" t="s">
        <v>103</v>
      </c>
      <c r="C9" s="61">
        <v>1.5</v>
      </c>
      <c r="D9" s="73">
        <f t="shared" si="0"/>
        <v>0.16316632302368975</v>
      </c>
      <c r="E9" s="73">
        <f>D9+0.17</f>
        <v>0.33316632302368976</v>
      </c>
      <c r="F9" s="61">
        <v>4.55</v>
      </c>
      <c r="G9" s="78">
        <v>50</v>
      </c>
      <c r="H9" s="95">
        <v>0.02</v>
      </c>
      <c r="I9" s="61">
        <v>110</v>
      </c>
      <c r="J9" s="73">
        <v>1.55</v>
      </c>
      <c r="K9" s="73">
        <v>13.32</v>
      </c>
      <c r="L9" s="73">
        <f>E9/K9</f>
        <v>2.5012486713490222E-2</v>
      </c>
      <c r="M9" s="73">
        <v>0.11</v>
      </c>
      <c r="N9" s="73">
        <v>0.53</v>
      </c>
      <c r="O9" s="99">
        <f>N9*J9</f>
        <v>0.82150000000000012</v>
      </c>
    </row>
    <row r="10" spans="1:18" s="24" customFormat="1" ht="12" customHeight="1">
      <c r="A10" s="93"/>
      <c r="B10" s="61"/>
      <c r="C10" s="61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98"/>
    </row>
    <row r="11" spans="1:18" s="24" customFormat="1">
      <c r="A11" s="93" t="s">
        <v>70</v>
      </c>
      <c r="B11" s="62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94"/>
    </row>
    <row r="12" spans="1:18" s="24" customFormat="1">
      <c r="A12" s="93">
        <v>1</v>
      </c>
      <c r="B12" s="61" t="s">
        <v>133</v>
      </c>
      <c r="C12" s="61">
        <v>3.5</v>
      </c>
      <c r="D12" s="73">
        <f t="shared" ref="D12:D13" si="1">0.33*0.4*C12^0.5+0.001*C12</f>
        <v>0.25044938752708013</v>
      </c>
      <c r="E12" s="73">
        <f>D12+1.15</f>
        <v>1.40044938752708</v>
      </c>
      <c r="F12" s="61"/>
      <c r="G12" s="78"/>
      <c r="H12" s="95">
        <v>3.5000000000000003E-2</v>
      </c>
      <c r="I12" s="61">
        <v>50</v>
      </c>
      <c r="J12" s="73">
        <v>1.25</v>
      </c>
      <c r="K12" s="73">
        <v>1.97</v>
      </c>
      <c r="L12" s="73">
        <f>E12/K12</f>
        <v>0.71088801397313706</v>
      </c>
      <c r="M12" s="73">
        <v>0.61</v>
      </c>
      <c r="N12" s="73">
        <v>1.1200000000000001</v>
      </c>
      <c r="O12" s="99">
        <f>N12*J12</f>
        <v>1.4000000000000001</v>
      </c>
    </row>
    <row r="13" spans="1:18" s="24" customFormat="1">
      <c r="A13" s="93">
        <v>2</v>
      </c>
      <c r="B13" s="61" t="s">
        <v>32</v>
      </c>
      <c r="C13" s="61">
        <v>0.5</v>
      </c>
      <c r="D13" s="73">
        <f t="shared" si="1"/>
        <v>9.383809511662429E-2</v>
      </c>
      <c r="E13" s="73">
        <f>D13+0.17</f>
        <v>0.26383809511662432</v>
      </c>
      <c r="F13" s="61"/>
      <c r="G13" s="78"/>
      <c r="H13" s="95">
        <v>3.5000000000000003E-2</v>
      </c>
      <c r="I13" s="61">
        <v>32</v>
      </c>
      <c r="J13" s="73">
        <v>0.85</v>
      </c>
      <c r="K13" s="73">
        <v>0.53</v>
      </c>
      <c r="L13" s="73">
        <f>E13/K13</f>
        <v>0.49780772663514017</v>
      </c>
      <c r="M13" s="73">
        <v>0.5</v>
      </c>
      <c r="N13" s="73">
        <v>1</v>
      </c>
      <c r="O13" s="99">
        <f>N13*J13</f>
        <v>0.85</v>
      </c>
    </row>
    <row r="14" spans="1:18" s="24" customFormat="1">
      <c r="A14" s="93">
        <v>3</v>
      </c>
      <c r="B14" s="61" t="s">
        <v>102</v>
      </c>
      <c r="C14" s="61">
        <v>1</v>
      </c>
      <c r="D14" s="73">
        <f t="shared" ref="D14:D19" si="2">0.33*0.4*C14^0.5+0.001*C14</f>
        <v>0.13300000000000001</v>
      </c>
      <c r="E14" s="73">
        <f>D14+0.17</f>
        <v>0.30300000000000005</v>
      </c>
      <c r="F14" s="61"/>
      <c r="G14" s="78"/>
      <c r="H14" s="95">
        <v>3.5000000000000003E-2</v>
      </c>
      <c r="I14" s="61">
        <v>40</v>
      </c>
      <c r="J14" s="73">
        <v>1.01</v>
      </c>
      <c r="K14" s="73">
        <v>1.01</v>
      </c>
      <c r="L14" s="73">
        <f>E14/K14</f>
        <v>0.30000000000000004</v>
      </c>
      <c r="M14" s="73">
        <v>0.37</v>
      </c>
      <c r="N14" s="73">
        <v>0.9</v>
      </c>
      <c r="O14" s="99">
        <f>N14*J14</f>
        <v>0.90900000000000003</v>
      </c>
    </row>
    <row r="15" spans="1:18" s="24" customFormat="1" ht="13.5" customHeight="1">
      <c r="A15" s="93">
        <v>4</v>
      </c>
      <c r="B15" s="61" t="s">
        <v>132</v>
      </c>
      <c r="C15" s="61">
        <f>C13+C14+1</f>
        <v>2.5</v>
      </c>
      <c r="D15" s="73">
        <f t="shared" si="2"/>
        <v>0.21121032557111305</v>
      </c>
      <c r="E15" s="73">
        <f>D15+0.33</f>
        <v>0.54121032557111304</v>
      </c>
      <c r="F15" s="61"/>
      <c r="G15" s="78"/>
      <c r="H15" s="95">
        <v>3.5000000000000003E-2</v>
      </c>
      <c r="I15" s="61">
        <v>50</v>
      </c>
      <c r="J15" s="73">
        <v>1.25</v>
      </c>
      <c r="K15" s="73">
        <v>1.97</v>
      </c>
      <c r="L15" s="73">
        <f t="shared" ref="L15" si="3">E15/K15</f>
        <v>0.2747260535893975</v>
      </c>
      <c r="M15" s="73">
        <v>0.35</v>
      </c>
      <c r="N15" s="73">
        <v>0.88</v>
      </c>
      <c r="O15" s="99">
        <f t="shared" ref="O15" si="4">N15*J15</f>
        <v>1.1000000000000001</v>
      </c>
    </row>
    <row r="16" spans="1:18" s="24" customFormat="1">
      <c r="A16" s="93">
        <v>5</v>
      </c>
      <c r="B16" s="61" t="s">
        <v>134</v>
      </c>
      <c r="C16" s="61">
        <f>C15+C12</f>
        <v>6</v>
      </c>
      <c r="D16" s="73">
        <f t="shared" si="2"/>
        <v>0.3293326460473795</v>
      </c>
      <c r="E16" s="73">
        <f>D16+2</f>
        <v>2.3293326460473796</v>
      </c>
      <c r="F16" s="61"/>
      <c r="G16" s="78"/>
      <c r="H16" s="95">
        <v>2.5000000000000001E-2</v>
      </c>
      <c r="I16" s="61">
        <v>63</v>
      </c>
      <c r="J16" s="73">
        <v>1.19</v>
      </c>
      <c r="K16" s="73">
        <v>3.21</v>
      </c>
      <c r="L16" s="73">
        <f>E16/K16</f>
        <v>0.72564879939170701</v>
      </c>
      <c r="M16" s="73">
        <v>0.62</v>
      </c>
      <c r="N16" s="73">
        <v>1.1299999999999999</v>
      </c>
      <c r="O16" s="99">
        <f>N16*J16</f>
        <v>1.3446999999999998</v>
      </c>
    </row>
    <row r="17" spans="1:15" s="24" customFormat="1">
      <c r="A17" s="93">
        <v>6</v>
      </c>
      <c r="B17" s="61" t="s">
        <v>135</v>
      </c>
      <c r="C17" s="61">
        <f>C16+6</f>
        <v>12</v>
      </c>
      <c r="D17" s="73">
        <f t="shared" si="2"/>
        <v>0.4692614131981836</v>
      </c>
      <c r="E17" s="73">
        <f>D17+2</f>
        <v>2.4692614131981836</v>
      </c>
      <c r="F17" s="61"/>
      <c r="G17" s="78"/>
      <c r="H17" s="95">
        <v>0.02</v>
      </c>
      <c r="I17" s="61">
        <v>110</v>
      </c>
      <c r="J17" s="73">
        <v>1.55</v>
      </c>
      <c r="K17" s="73">
        <v>13.32</v>
      </c>
      <c r="L17" s="73">
        <f>E17/K17</f>
        <v>0.1853799859758396</v>
      </c>
      <c r="M17" s="73">
        <v>0.28999999999999998</v>
      </c>
      <c r="N17" s="73">
        <v>0.81</v>
      </c>
      <c r="O17" s="99">
        <f>N17*J17</f>
        <v>1.2555000000000001</v>
      </c>
    </row>
    <row r="18" spans="1:15" s="24" customFormat="1">
      <c r="A18" s="93">
        <v>7</v>
      </c>
      <c r="B18" s="61" t="s">
        <v>136</v>
      </c>
      <c r="C18" s="61">
        <v>1.5</v>
      </c>
      <c r="D18" s="73">
        <f t="shared" si="2"/>
        <v>0.16316632302368975</v>
      </c>
      <c r="E18" s="73">
        <f>D18+0.33</f>
        <v>0.49316632302368979</v>
      </c>
      <c r="F18" s="61"/>
      <c r="G18" s="78"/>
      <c r="H18" s="95">
        <v>3.5000000000000003E-2</v>
      </c>
      <c r="I18" s="61">
        <v>50</v>
      </c>
      <c r="J18" s="73">
        <v>1.25</v>
      </c>
      <c r="K18" s="73">
        <v>1.97</v>
      </c>
      <c r="L18" s="73">
        <f>E18/K18</f>
        <v>0.25033823503740599</v>
      </c>
      <c r="M18" s="73">
        <v>0.33</v>
      </c>
      <c r="N18" s="73">
        <v>0.86</v>
      </c>
      <c r="O18" s="99">
        <f>N18*J18</f>
        <v>1.075</v>
      </c>
    </row>
    <row r="19" spans="1:15" s="24" customFormat="1">
      <c r="A19" s="93">
        <v>8</v>
      </c>
      <c r="B19" s="61" t="s">
        <v>137</v>
      </c>
      <c r="C19" s="61">
        <f>C18+C17</f>
        <v>13.5</v>
      </c>
      <c r="D19" s="73">
        <f t="shared" si="2"/>
        <v>0.49849896907106933</v>
      </c>
      <c r="E19" s="73">
        <f>D19+2</f>
        <v>2.4984989690710693</v>
      </c>
      <c r="F19" s="61"/>
      <c r="G19" s="78"/>
      <c r="H19" s="95">
        <v>0.02</v>
      </c>
      <c r="I19" s="61">
        <v>110</v>
      </c>
      <c r="J19" s="73">
        <v>1.55</v>
      </c>
      <c r="K19" s="73">
        <v>13.32</v>
      </c>
      <c r="L19" s="73">
        <f>E19/K19</f>
        <v>0.1875749976780082</v>
      </c>
      <c r="M19" s="73">
        <v>0.28999999999999998</v>
      </c>
      <c r="N19" s="73">
        <v>0.81</v>
      </c>
      <c r="O19" s="99">
        <f>N19*J19</f>
        <v>1.2555000000000001</v>
      </c>
    </row>
    <row r="20" spans="1:15" s="24" customFormat="1">
      <c r="A20" s="93">
        <v>9</v>
      </c>
      <c r="B20" s="61" t="s">
        <v>138</v>
      </c>
      <c r="C20" s="61">
        <f>C19+6</f>
        <v>19.5</v>
      </c>
      <c r="D20" s="73">
        <f t="shared" ref="D20" si="5">0.33*0.4*C20^0.5+0.001*C20</f>
        <v>0.60239621717763792</v>
      </c>
      <c r="E20" s="73">
        <f>D20+2</f>
        <v>2.6023962171776378</v>
      </c>
      <c r="F20" s="61">
        <v>4.55</v>
      </c>
      <c r="G20" s="78">
        <v>110</v>
      </c>
      <c r="H20" s="95">
        <v>0.02</v>
      </c>
      <c r="I20" s="61">
        <v>110</v>
      </c>
      <c r="J20" s="73">
        <v>1.55</v>
      </c>
      <c r="K20" s="73">
        <v>13.32</v>
      </c>
      <c r="L20" s="73">
        <f>E20/K20</f>
        <v>0.19537509137970252</v>
      </c>
      <c r="M20" s="73">
        <v>0.28999999999999998</v>
      </c>
      <c r="N20" s="73">
        <v>0.81</v>
      </c>
      <c r="O20" s="99">
        <f>N20*J20</f>
        <v>1.2555000000000001</v>
      </c>
    </row>
    <row r="21" spans="1:15" s="24" customFormat="1">
      <c r="A21" s="93">
        <v>10</v>
      </c>
      <c r="B21" s="61" t="s">
        <v>139</v>
      </c>
      <c r="C21" s="61">
        <f>C20*2-0.5</f>
        <v>38.5</v>
      </c>
      <c r="D21" s="73">
        <f t="shared" ref="D21" si="6">0.33*0.4*C21^0.5+0.001*C21</f>
        <v>0.85753846063539663</v>
      </c>
      <c r="E21" s="73">
        <f>D21+2</f>
        <v>2.8575384606353964</v>
      </c>
      <c r="F21" s="61">
        <v>4.55</v>
      </c>
      <c r="G21" s="78">
        <v>110</v>
      </c>
      <c r="H21" s="95"/>
      <c r="I21" s="61"/>
      <c r="J21" s="73"/>
      <c r="K21" s="73"/>
      <c r="L21" s="73"/>
      <c r="M21" s="73"/>
      <c r="N21" s="73"/>
      <c r="O21" s="99"/>
    </row>
    <row r="22" spans="1:15">
      <c r="A22" s="93">
        <v>11</v>
      </c>
      <c r="B22" s="61" t="s">
        <v>140</v>
      </c>
      <c r="C22" s="61">
        <f>C21+C17+6+1</f>
        <v>57.5</v>
      </c>
      <c r="D22" s="73">
        <f t="shared" ref="D22" si="7">0.33*0.4*C22^0.5+0.001*C22</f>
        <v>1.0584395586148048</v>
      </c>
      <c r="E22" s="73">
        <f>D22+2</f>
        <v>3.058439558614805</v>
      </c>
      <c r="F22" s="61">
        <v>4.55</v>
      </c>
      <c r="G22" s="78">
        <v>110</v>
      </c>
      <c r="H22" s="95">
        <v>0.01</v>
      </c>
      <c r="I22" s="61">
        <v>160</v>
      </c>
      <c r="J22" s="73">
        <v>1.36</v>
      </c>
      <c r="K22" s="73">
        <v>24.76</v>
      </c>
      <c r="L22" s="73">
        <f>E22/K22</f>
        <v>0.12352340705229421</v>
      </c>
      <c r="M22" s="73">
        <v>0.22</v>
      </c>
      <c r="N22" s="73">
        <v>0.72</v>
      </c>
      <c r="O22" s="99">
        <f>N22*J22</f>
        <v>0.97920000000000007</v>
      </c>
    </row>
    <row r="23" spans="1:15">
      <c r="A23" s="93"/>
      <c r="B23" s="61"/>
      <c r="C23" s="61"/>
      <c r="D23" s="73"/>
      <c r="E23" s="73"/>
      <c r="F23" s="61"/>
      <c r="G23" s="78"/>
      <c r="H23" s="95"/>
      <c r="I23" s="61"/>
      <c r="J23" s="73"/>
      <c r="K23" s="73"/>
      <c r="L23" s="73"/>
      <c r="M23" s="73"/>
      <c r="N23" s="95"/>
      <c r="O23" s="99"/>
    </row>
    <row r="24" spans="1:15">
      <c r="A24" s="93" t="s">
        <v>71</v>
      </c>
      <c r="B24" s="62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94"/>
    </row>
    <row r="25" spans="1:15">
      <c r="A25" s="93">
        <v>1</v>
      </c>
      <c r="B25" s="61" t="s">
        <v>32</v>
      </c>
      <c r="C25" s="61">
        <v>0.5</v>
      </c>
      <c r="D25" s="73">
        <f t="shared" ref="D25:D32" si="8">0.33*0.4*C25^0.5+0.001*C25</f>
        <v>9.383809511662429E-2</v>
      </c>
      <c r="E25" s="73">
        <f>D25+0.17</f>
        <v>0.26383809511662432</v>
      </c>
      <c r="F25" s="61"/>
      <c r="G25" s="78"/>
      <c r="H25" s="95">
        <v>3.5000000000000003E-2</v>
      </c>
      <c r="I25" s="61">
        <v>32</v>
      </c>
      <c r="J25" s="73">
        <v>0.85</v>
      </c>
      <c r="K25" s="73">
        <v>0.53</v>
      </c>
      <c r="L25" s="73">
        <f>E25/K25</f>
        <v>0.49780772663514017</v>
      </c>
      <c r="M25" s="73">
        <v>0.5</v>
      </c>
      <c r="N25" s="73">
        <v>1</v>
      </c>
      <c r="O25" s="99">
        <f>N25*J25</f>
        <v>0.85</v>
      </c>
    </row>
    <row r="26" spans="1:15">
      <c r="A26" s="93">
        <v>2</v>
      </c>
      <c r="B26" s="61" t="s">
        <v>102</v>
      </c>
      <c r="C26" s="61">
        <v>1</v>
      </c>
      <c r="D26" s="73">
        <f t="shared" si="8"/>
        <v>0.13300000000000001</v>
      </c>
      <c r="E26" s="73">
        <f>D26+0.17</f>
        <v>0.30300000000000005</v>
      </c>
      <c r="F26" s="61"/>
      <c r="G26" s="78"/>
      <c r="H26" s="95">
        <v>3.5000000000000003E-2</v>
      </c>
      <c r="I26" s="61">
        <v>40</v>
      </c>
      <c r="J26" s="73">
        <v>1.01</v>
      </c>
      <c r="K26" s="73">
        <v>1.01</v>
      </c>
      <c r="L26" s="73">
        <f>E26/K26</f>
        <v>0.30000000000000004</v>
      </c>
      <c r="M26" s="73">
        <v>0.37</v>
      </c>
      <c r="N26" s="73">
        <v>0.9</v>
      </c>
      <c r="O26" s="99">
        <f>N26*J26</f>
        <v>0.90900000000000003</v>
      </c>
    </row>
    <row r="27" spans="1:15">
      <c r="A27" s="93">
        <v>3</v>
      </c>
      <c r="B27" s="61" t="s">
        <v>132</v>
      </c>
      <c r="C27" s="61">
        <f>C25+C26+1</f>
        <v>2.5</v>
      </c>
      <c r="D27" s="73">
        <f t="shared" si="8"/>
        <v>0.21121032557111305</v>
      </c>
      <c r="E27" s="73">
        <f>D27+0.33</f>
        <v>0.54121032557111304</v>
      </c>
      <c r="F27" s="61"/>
      <c r="G27" s="78"/>
      <c r="H27" s="95">
        <v>3.5000000000000003E-2</v>
      </c>
      <c r="I27" s="61">
        <v>50</v>
      </c>
      <c r="J27" s="73">
        <v>1.25</v>
      </c>
      <c r="K27" s="73">
        <v>1.97</v>
      </c>
      <c r="L27" s="73">
        <f t="shared" ref="L27" si="9">E27/K27</f>
        <v>0.2747260535893975</v>
      </c>
      <c r="M27" s="73">
        <v>0.35</v>
      </c>
      <c r="N27" s="73">
        <v>0.88</v>
      </c>
      <c r="O27" s="99">
        <f t="shared" ref="O27" si="10">N27*J27</f>
        <v>1.1000000000000001</v>
      </c>
    </row>
    <row r="28" spans="1:15">
      <c r="A28" s="93">
        <v>4</v>
      </c>
      <c r="B28" s="61" t="s">
        <v>141</v>
      </c>
      <c r="C28" s="61">
        <f>C27+6</f>
        <v>8.5</v>
      </c>
      <c r="D28" s="73">
        <f t="shared" si="8"/>
        <v>0.3933428250597899</v>
      </c>
      <c r="E28" s="73">
        <f>D28+2</f>
        <v>2.3933428250597899</v>
      </c>
      <c r="F28" s="61"/>
      <c r="G28" s="78"/>
      <c r="H28" s="95">
        <v>0.02</v>
      </c>
      <c r="I28" s="61">
        <v>110</v>
      </c>
      <c r="J28" s="73">
        <v>1.55</v>
      </c>
      <c r="K28" s="73">
        <v>13.32</v>
      </c>
      <c r="L28" s="73">
        <f>E28/K28</f>
        <v>0.179680392271756</v>
      </c>
      <c r="M28" s="73">
        <v>0.28000000000000003</v>
      </c>
      <c r="N28" s="73">
        <v>0.8</v>
      </c>
      <c r="O28" s="99">
        <f>N28*J28</f>
        <v>1.2400000000000002</v>
      </c>
    </row>
    <row r="29" spans="1:15">
      <c r="A29" s="93">
        <v>5</v>
      </c>
      <c r="B29" s="61" t="s">
        <v>142</v>
      </c>
      <c r="C29" s="61">
        <f>C28+6</f>
        <v>14.5</v>
      </c>
      <c r="D29" s="73">
        <f t="shared" si="8"/>
        <v>0.51714102498701797</v>
      </c>
      <c r="E29" s="73">
        <f>D29+2</f>
        <v>2.5171410249870179</v>
      </c>
      <c r="F29" s="61"/>
      <c r="G29" s="78"/>
      <c r="H29" s="95">
        <v>0.02</v>
      </c>
      <c r="I29" s="61">
        <v>110</v>
      </c>
      <c r="J29" s="73">
        <v>1.55</v>
      </c>
      <c r="K29" s="73">
        <v>13.32</v>
      </c>
      <c r="L29" s="73">
        <f>E29/K29</f>
        <v>0.18897455142545178</v>
      </c>
      <c r="M29" s="73">
        <v>0.28999999999999998</v>
      </c>
      <c r="N29" s="73">
        <v>0.81</v>
      </c>
      <c r="O29" s="99">
        <f>N29*J29</f>
        <v>1.2555000000000001</v>
      </c>
    </row>
    <row r="30" spans="1:15">
      <c r="A30" s="93">
        <v>6</v>
      </c>
      <c r="B30" s="61" t="s">
        <v>143</v>
      </c>
      <c r="C30" s="61">
        <f>1+1</f>
        <v>2</v>
      </c>
      <c r="D30" s="73">
        <f t="shared" si="8"/>
        <v>0.18867619023324858</v>
      </c>
      <c r="E30" s="73">
        <f>D30+0.33</f>
        <v>0.51867619023324862</v>
      </c>
      <c r="F30" s="61"/>
      <c r="G30" s="78"/>
      <c r="H30" s="95">
        <v>3.5000000000000003E-2</v>
      </c>
      <c r="I30" s="61">
        <v>50</v>
      </c>
      <c r="J30" s="73">
        <v>1.25</v>
      </c>
      <c r="K30" s="73">
        <v>1.97</v>
      </c>
      <c r="L30" s="73">
        <f>E30/K30</f>
        <v>0.26328740620977087</v>
      </c>
      <c r="M30" s="73">
        <v>0.34</v>
      </c>
      <c r="N30" s="73">
        <v>0.87</v>
      </c>
      <c r="O30" s="99">
        <f>N30*J30</f>
        <v>1.0874999999999999</v>
      </c>
    </row>
    <row r="31" spans="1:15">
      <c r="A31" s="93">
        <v>7</v>
      </c>
      <c r="B31" s="61" t="s">
        <v>144</v>
      </c>
      <c r="C31" s="61">
        <f>C29+C30</f>
        <v>16.5</v>
      </c>
      <c r="D31" s="73">
        <f t="shared" si="8"/>
        <v>0.5526865347059734</v>
      </c>
      <c r="E31" s="73">
        <f>D31+2</f>
        <v>2.5526865347059733</v>
      </c>
      <c r="F31" s="61"/>
      <c r="G31" s="78"/>
      <c r="H31" s="95">
        <v>0.02</v>
      </c>
      <c r="I31" s="61">
        <v>110</v>
      </c>
      <c r="J31" s="73">
        <v>1.55</v>
      </c>
      <c r="K31" s="73">
        <v>13.32</v>
      </c>
      <c r="L31" s="73">
        <f>E31/K31</f>
        <v>0.19164313323618418</v>
      </c>
      <c r="M31" s="73">
        <v>0.28999999999999998</v>
      </c>
      <c r="N31" s="73">
        <v>0.81</v>
      </c>
      <c r="O31" s="99">
        <f>N31*J31</f>
        <v>1.2555000000000001</v>
      </c>
    </row>
    <row r="32" spans="1:15">
      <c r="A32" s="93">
        <v>8</v>
      </c>
      <c r="B32" s="61" t="s">
        <v>145</v>
      </c>
      <c r="C32" s="61">
        <f>C31+6</f>
        <v>22.5</v>
      </c>
      <c r="D32" s="73">
        <f t="shared" si="8"/>
        <v>0.64863097671333914</v>
      </c>
      <c r="E32" s="73">
        <f>D32+2</f>
        <v>2.6486309767133394</v>
      </c>
      <c r="F32" s="61">
        <v>4.55</v>
      </c>
      <c r="G32" s="78">
        <v>110</v>
      </c>
      <c r="H32" s="95">
        <v>0.02</v>
      </c>
      <c r="I32" s="61">
        <v>110</v>
      </c>
      <c r="J32" s="73">
        <v>1.55</v>
      </c>
      <c r="K32" s="73">
        <v>13.32</v>
      </c>
      <c r="L32" s="73">
        <f>E32/K32</f>
        <v>0.19884616942292338</v>
      </c>
      <c r="M32" s="73">
        <v>0.28999999999999998</v>
      </c>
      <c r="N32" s="73">
        <v>0.81</v>
      </c>
      <c r="O32" s="99">
        <f>N32*J32</f>
        <v>1.2555000000000001</v>
      </c>
    </row>
    <row r="33" spans="1:15">
      <c r="A33" s="93">
        <v>9</v>
      </c>
      <c r="B33" s="61" t="s">
        <v>146</v>
      </c>
      <c r="C33" s="61">
        <f>C32+2+2+12+1</f>
        <v>39.5</v>
      </c>
      <c r="D33" s="73">
        <f t="shared" ref="D33:D34" si="11">0.33*0.4*C33^0.5+0.001*C33</f>
        <v>0.86910713593845135</v>
      </c>
      <c r="E33" s="73">
        <f>D33+2</f>
        <v>2.8691071359384512</v>
      </c>
      <c r="F33" s="61">
        <v>4.55</v>
      </c>
      <c r="G33" s="78">
        <v>110</v>
      </c>
      <c r="H33" s="95"/>
      <c r="I33" s="61"/>
      <c r="J33" s="73"/>
      <c r="K33" s="73"/>
      <c r="L33" s="73"/>
      <c r="M33" s="73"/>
      <c r="N33" s="73"/>
      <c r="O33" s="99"/>
    </row>
    <row r="34" spans="1:15">
      <c r="A34" s="93">
        <v>10</v>
      </c>
      <c r="B34" s="61" t="s">
        <v>147</v>
      </c>
      <c r="C34" s="61">
        <f>C33+1.5+2+12+1</f>
        <v>56</v>
      </c>
      <c r="D34" s="73">
        <f t="shared" si="11"/>
        <v>1.0437975501083205</v>
      </c>
      <c r="E34" s="73">
        <f>D34+2</f>
        <v>3.0437975501083203</v>
      </c>
      <c r="F34" s="61">
        <v>4.55</v>
      </c>
      <c r="G34" s="78">
        <v>110</v>
      </c>
      <c r="H34" s="95">
        <v>0.01</v>
      </c>
      <c r="I34" s="61">
        <v>160</v>
      </c>
      <c r="J34" s="73">
        <v>1.36</v>
      </c>
      <c r="K34" s="73">
        <v>24.76</v>
      </c>
      <c r="L34" s="73">
        <f>E34/K34</f>
        <v>0.12293204968127303</v>
      </c>
      <c r="M34" s="73">
        <v>0.22</v>
      </c>
      <c r="N34" s="73">
        <v>0.72</v>
      </c>
      <c r="O34" s="99">
        <f>N34*J34</f>
        <v>0.97920000000000007</v>
      </c>
    </row>
    <row r="35" spans="1:15">
      <c r="A35" s="93"/>
      <c r="B35" s="61"/>
      <c r="C35" s="61"/>
      <c r="D35" s="73"/>
      <c r="E35" s="73"/>
      <c r="F35" s="61"/>
      <c r="G35" s="78"/>
      <c r="H35" s="95"/>
      <c r="I35" s="61"/>
      <c r="J35" s="73"/>
      <c r="K35" s="73"/>
      <c r="L35" s="73"/>
      <c r="M35" s="73"/>
      <c r="N35" s="73"/>
      <c r="O35" s="99"/>
    </row>
    <row r="36" spans="1:15">
      <c r="A36" s="93" t="s">
        <v>148</v>
      </c>
      <c r="B36" s="62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94"/>
    </row>
    <row r="37" spans="1:15">
      <c r="A37" s="93">
        <v>1</v>
      </c>
      <c r="B37" s="61" t="s">
        <v>32</v>
      </c>
      <c r="C37" s="61">
        <v>0.5</v>
      </c>
      <c r="D37" s="73">
        <f t="shared" ref="D37:D38" si="12">0.33*0.4*C37^0.5+0.001*C37</f>
        <v>9.383809511662429E-2</v>
      </c>
      <c r="E37" s="73">
        <f>D37+0.17</f>
        <v>0.26383809511662432</v>
      </c>
      <c r="F37" s="61"/>
      <c r="G37" s="78"/>
      <c r="H37" s="95">
        <v>3.5000000000000003E-2</v>
      </c>
      <c r="I37" s="61">
        <v>32</v>
      </c>
      <c r="J37" s="73">
        <v>0.85</v>
      </c>
      <c r="K37" s="73">
        <v>0.53</v>
      </c>
      <c r="L37" s="73">
        <f>E37/K37</f>
        <v>0.49780772663514017</v>
      </c>
      <c r="M37" s="73">
        <v>0.5</v>
      </c>
      <c r="N37" s="73">
        <v>1</v>
      </c>
      <c r="O37" s="99">
        <f>N37*J37</f>
        <v>0.85</v>
      </c>
    </row>
    <row r="38" spans="1:15" ht="15.75" thickBot="1">
      <c r="A38" s="100">
        <v>2</v>
      </c>
      <c r="B38" s="101" t="s">
        <v>103</v>
      </c>
      <c r="C38" s="101">
        <v>1.5</v>
      </c>
      <c r="D38" s="102">
        <f t="shared" si="12"/>
        <v>0.16316632302368975</v>
      </c>
      <c r="E38" s="102">
        <f>D38+0.17</f>
        <v>0.33316632302368976</v>
      </c>
      <c r="F38" s="101">
        <v>4.55</v>
      </c>
      <c r="G38" s="103">
        <v>50</v>
      </c>
      <c r="H38" s="104">
        <v>0.02</v>
      </c>
      <c r="I38" s="101">
        <v>110</v>
      </c>
      <c r="J38" s="102">
        <v>1.55</v>
      </c>
      <c r="K38" s="102">
        <v>13.32</v>
      </c>
      <c r="L38" s="102">
        <f>E38/K38</f>
        <v>2.5012486713490222E-2</v>
      </c>
      <c r="M38" s="102">
        <v>0.11</v>
      </c>
      <c r="N38" s="102">
        <v>0.53</v>
      </c>
      <c r="O38" s="105">
        <f>N38*J38</f>
        <v>0.82150000000000012</v>
      </c>
    </row>
    <row r="39" spans="1:15">
      <c r="A39" s="22"/>
      <c r="B39" s="22"/>
      <c r="C39" s="22"/>
      <c r="D39" s="76"/>
      <c r="E39" s="76"/>
      <c r="F39" s="22"/>
      <c r="G39" s="48"/>
      <c r="H39" s="77"/>
      <c r="I39" s="22"/>
      <c r="J39" s="76"/>
      <c r="K39" s="76"/>
      <c r="L39" s="76"/>
      <c r="M39" s="76"/>
      <c r="N39" s="76"/>
      <c r="O39" s="76"/>
    </row>
    <row r="40" spans="1:15">
      <c r="A40" s="47" t="s">
        <v>69</v>
      </c>
      <c r="B40" s="63"/>
      <c r="C40" s="47"/>
      <c r="D40" s="63"/>
      <c r="E40" s="47"/>
      <c r="F40" s="63"/>
      <c r="G40" s="47"/>
      <c r="H40" s="63"/>
      <c r="I40" s="47"/>
      <c r="J40" s="63"/>
      <c r="K40"/>
      <c r="L40"/>
      <c r="M40" s="26"/>
      <c r="N40" s="26"/>
      <c r="O40" s="50"/>
    </row>
    <row r="41" spans="1:15">
      <c r="A41" s="64" t="s">
        <v>166</v>
      </c>
      <c r="B41" s="65"/>
      <c r="C41" s="64"/>
      <c r="D41" s="65"/>
      <c r="E41" s="64"/>
      <c r="F41" s="65"/>
      <c r="G41" s="64"/>
      <c r="H41" s="65"/>
      <c r="I41" s="64"/>
      <c r="J41" s="65"/>
      <c r="K41"/>
      <c r="L41"/>
      <c r="M41" s="26"/>
      <c r="N41" s="26"/>
      <c r="O41" s="50"/>
    </row>
    <row r="42" spans="1:1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</row>
    <row r="43" spans="1:1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</row>
    <row r="44" spans="1:15">
      <c r="A44" s="59"/>
      <c r="B44" s="18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>
      <c r="A45" s="49"/>
      <c r="B45" s="49"/>
      <c r="C45" s="49"/>
      <c r="D45" s="50"/>
      <c r="E45" s="50"/>
      <c r="F45" s="49"/>
      <c r="G45" s="49"/>
      <c r="H45" s="51"/>
      <c r="I45" s="49"/>
      <c r="J45" s="50"/>
      <c r="K45" s="50"/>
      <c r="L45" s="50"/>
      <c r="M45" s="50"/>
      <c r="N45" s="50"/>
      <c r="O45" s="50"/>
    </row>
    <row r="46" spans="1:15">
      <c r="A46" s="49"/>
      <c r="B46" s="49"/>
      <c r="C46" s="49"/>
      <c r="D46" s="50"/>
      <c r="E46" s="50"/>
      <c r="F46" s="49"/>
      <c r="G46" s="23"/>
      <c r="H46" s="51"/>
      <c r="I46" s="49"/>
      <c r="J46" s="50"/>
      <c r="K46" s="50"/>
      <c r="L46" s="50"/>
      <c r="M46" s="50"/>
      <c r="N46" s="50"/>
      <c r="O46" s="50"/>
    </row>
    <row r="47" spans="1:15">
      <c r="A47" s="49"/>
      <c r="B47" s="49"/>
      <c r="C47" s="49"/>
      <c r="D47" s="50"/>
      <c r="E47" s="50"/>
      <c r="F47" s="49"/>
      <c r="G47" s="23"/>
      <c r="H47" s="51"/>
      <c r="I47" s="49"/>
      <c r="J47" s="50"/>
      <c r="K47" s="50"/>
      <c r="L47" s="50"/>
      <c r="M47" s="50"/>
      <c r="N47" s="50"/>
      <c r="O47" s="50"/>
    </row>
    <row r="48" spans="1:15">
      <c r="A48" s="49"/>
      <c r="B48" s="49"/>
      <c r="C48" s="49"/>
      <c r="D48" s="50"/>
      <c r="E48" s="50"/>
      <c r="F48" s="49"/>
      <c r="G48" s="23"/>
      <c r="H48" s="51"/>
      <c r="I48" s="49"/>
      <c r="J48" s="50"/>
      <c r="K48" s="50"/>
      <c r="L48" s="50"/>
      <c r="M48" s="50"/>
      <c r="N48" s="50"/>
      <c r="O48" s="50"/>
    </row>
    <row r="49" spans="1:15">
      <c r="A49" s="49"/>
      <c r="B49" s="49"/>
      <c r="C49" s="49"/>
      <c r="D49" s="50"/>
      <c r="E49" s="50"/>
      <c r="F49" s="49"/>
      <c r="G49" s="23"/>
      <c r="H49" s="51"/>
      <c r="I49" s="49"/>
      <c r="J49" s="50"/>
      <c r="K49" s="50"/>
      <c r="L49" s="50"/>
      <c r="M49" s="50"/>
      <c r="N49" s="50"/>
      <c r="O49" s="50"/>
    </row>
    <row r="50" spans="1:15">
      <c r="A50" s="49"/>
      <c r="B50" s="49"/>
      <c r="C50" s="49"/>
      <c r="D50" s="50"/>
      <c r="E50" s="50"/>
      <c r="F50" s="49"/>
      <c r="G50" s="23"/>
      <c r="H50" s="51"/>
      <c r="I50" s="49"/>
      <c r="J50" s="50"/>
      <c r="K50" s="50"/>
      <c r="L50" s="50"/>
      <c r="M50" s="50"/>
      <c r="N50" s="50"/>
      <c r="O50" s="50"/>
    </row>
    <row r="51" spans="1:15">
      <c r="A51" s="49"/>
      <c r="B51" s="49"/>
      <c r="C51" s="49"/>
      <c r="D51" s="50"/>
      <c r="E51" s="50"/>
      <c r="F51" s="49"/>
      <c r="G51" s="23"/>
      <c r="H51" s="51"/>
      <c r="I51" s="49"/>
      <c r="J51" s="50"/>
      <c r="K51" s="50"/>
      <c r="L51" s="50"/>
      <c r="M51" s="50"/>
      <c r="N51" s="50"/>
      <c r="O51" s="50"/>
    </row>
    <row r="52" spans="1:15">
      <c r="A52" s="49"/>
      <c r="B52" s="49"/>
      <c r="C52" s="49"/>
      <c r="D52" s="50"/>
      <c r="E52" s="50"/>
      <c r="F52" s="49"/>
      <c r="G52" s="23"/>
      <c r="H52" s="51"/>
      <c r="I52" s="49"/>
      <c r="J52" s="50"/>
      <c r="K52" s="50"/>
      <c r="L52" s="50"/>
      <c r="M52" s="50"/>
      <c r="N52" s="50"/>
      <c r="O52" s="50"/>
    </row>
    <row r="53" spans="1:15">
      <c r="A53" s="49"/>
      <c r="B53" s="49"/>
      <c r="C53" s="49"/>
      <c r="D53" s="50"/>
      <c r="E53" s="50"/>
      <c r="F53" s="49"/>
      <c r="G53" s="23"/>
      <c r="H53" s="51"/>
      <c r="I53" s="49"/>
      <c r="J53" s="50"/>
      <c r="K53" s="50"/>
      <c r="L53" s="50"/>
      <c r="M53" s="50"/>
      <c r="N53" s="50"/>
      <c r="O53" s="50"/>
    </row>
    <row r="54" spans="1:15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</row>
    <row r="55" spans="1:15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</row>
    <row r="56" spans="1:15">
      <c r="A56" s="59"/>
      <c r="B56" s="18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49"/>
      <c r="B57" s="49"/>
      <c r="C57" s="49"/>
      <c r="D57" s="50"/>
      <c r="E57" s="50"/>
      <c r="F57" s="49"/>
      <c r="G57" s="49"/>
      <c r="H57" s="51"/>
      <c r="I57" s="49"/>
      <c r="J57" s="50"/>
      <c r="K57" s="50"/>
      <c r="L57" s="50"/>
      <c r="M57" s="50"/>
      <c r="N57" s="50"/>
      <c r="O57" s="50"/>
    </row>
    <row r="58" spans="1:15">
      <c r="A58" s="49"/>
      <c r="B58" s="49"/>
      <c r="C58" s="49"/>
      <c r="D58" s="50"/>
      <c r="E58" s="50"/>
      <c r="F58" s="49"/>
      <c r="G58" s="23"/>
      <c r="H58" s="51"/>
      <c r="I58" s="49"/>
      <c r="J58" s="50"/>
      <c r="K58" s="50"/>
      <c r="L58" s="50"/>
      <c r="M58" s="50"/>
      <c r="N58" s="50"/>
      <c r="O58" s="50"/>
    </row>
    <row r="59" spans="1:15">
      <c r="A59" s="49"/>
      <c r="B59" s="49"/>
      <c r="C59" s="49"/>
      <c r="D59" s="50"/>
      <c r="E59" s="50"/>
      <c r="F59" s="49"/>
      <c r="G59" s="23"/>
      <c r="H59" s="51"/>
      <c r="I59" s="49"/>
      <c r="J59" s="50"/>
      <c r="K59" s="50"/>
      <c r="L59" s="50"/>
      <c r="M59" s="50"/>
      <c r="N59" s="50"/>
      <c r="O59" s="50"/>
    </row>
    <row r="60" spans="1:15">
      <c r="A60" s="49"/>
      <c r="B60" s="49"/>
      <c r="C60" s="49"/>
      <c r="D60" s="50"/>
      <c r="E60" s="50"/>
      <c r="F60" s="49"/>
      <c r="G60" s="23"/>
      <c r="H60" s="51"/>
      <c r="I60" s="49"/>
      <c r="J60" s="50"/>
      <c r="K60" s="50"/>
      <c r="L60" s="50"/>
      <c r="M60" s="50"/>
      <c r="N60" s="50"/>
      <c r="O60" s="50"/>
    </row>
    <row r="61" spans="1:15">
      <c r="A61" s="49"/>
      <c r="B61" s="49"/>
      <c r="C61" s="49"/>
      <c r="D61" s="50"/>
      <c r="E61" s="50"/>
      <c r="F61" s="49"/>
      <c r="G61" s="23"/>
      <c r="H61" s="51"/>
      <c r="I61" s="49"/>
      <c r="J61" s="50"/>
      <c r="K61" s="50"/>
      <c r="L61" s="50"/>
      <c r="M61" s="50"/>
      <c r="N61" s="50"/>
      <c r="O61" s="50"/>
    </row>
    <row r="62" spans="1:15">
      <c r="A62" s="49"/>
      <c r="B62" s="49"/>
      <c r="C62" s="49"/>
      <c r="D62" s="50"/>
      <c r="E62" s="50"/>
      <c r="F62" s="49"/>
      <c r="G62" s="23"/>
      <c r="H62" s="51"/>
      <c r="I62" s="49"/>
      <c r="J62" s="50"/>
      <c r="K62" s="50"/>
      <c r="L62" s="50"/>
      <c r="M62" s="50"/>
      <c r="N62" s="50"/>
      <c r="O62" s="50"/>
    </row>
    <row r="63" spans="1:15">
      <c r="A63" s="49"/>
      <c r="B63" s="49"/>
      <c r="C63" s="49"/>
      <c r="D63" s="50"/>
      <c r="E63" s="50"/>
      <c r="F63" s="49"/>
      <c r="G63" s="23"/>
      <c r="H63" s="51"/>
      <c r="I63" s="49"/>
      <c r="J63" s="50"/>
      <c r="K63" s="50"/>
      <c r="L63" s="50"/>
      <c r="M63" s="50"/>
      <c r="N63" s="50"/>
      <c r="O63" s="50"/>
    </row>
    <row r="64" spans="1:15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</row>
    <row r="65" spans="1:15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</row>
    <row r="66" spans="1:15">
      <c r="A66" s="59"/>
      <c r="B66" s="18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</row>
    <row r="67" spans="1:15">
      <c r="A67" s="49"/>
      <c r="B67" s="49"/>
      <c r="C67" s="49"/>
      <c r="D67" s="50"/>
      <c r="E67" s="49"/>
      <c r="F67" s="49"/>
      <c r="G67" s="49"/>
      <c r="H67" s="51"/>
      <c r="I67" s="49"/>
      <c r="J67" s="50"/>
      <c r="K67" s="50"/>
      <c r="L67" s="50"/>
      <c r="M67" s="50"/>
      <c r="N67" s="50"/>
      <c r="O67" s="50"/>
    </row>
    <row r="68" spans="1:15">
      <c r="A68" s="49"/>
      <c r="B68" s="49"/>
      <c r="C68" s="49"/>
      <c r="D68" s="50"/>
      <c r="E68" s="50"/>
      <c r="F68" s="49"/>
      <c r="G68" s="23"/>
      <c r="H68" s="51"/>
      <c r="I68" s="49"/>
      <c r="J68" s="50"/>
      <c r="K68" s="50"/>
      <c r="L68" s="50"/>
      <c r="M68" s="50"/>
      <c r="N68" s="50"/>
      <c r="O68" s="50"/>
    </row>
    <row r="69" spans="1:15">
      <c r="A69" s="49"/>
      <c r="B69" s="49"/>
      <c r="C69" s="49"/>
      <c r="D69" s="50"/>
      <c r="E69" s="50"/>
      <c r="F69" s="49"/>
      <c r="G69" s="23"/>
      <c r="H69" s="51"/>
      <c r="I69" s="49"/>
      <c r="J69" s="50"/>
      <c r="K69" s="50"/>
      <c r="L69" s="50"/>
      <c r="M69" s="50"/>
      <c r="N69" s="50"/>
      <c r="O69" s="50"/>
    </row>
    <row r="70" spans="1:15">
      <c r="A70" s="49"/>
      <c r="B70" s="49"/>
      <c r="C70" s="49"/>
      <c r="D70" s="50"/>
      <c r="E70" s="50"/>
      <c r="F70" s="49"/>
      <c r="G70" s="23"/>
      <c r="H70" s="51"/>
      <c r="I70" s="49"/>
      <c r="J70" s="50"/>
      <c r="K70" s="50"/>
      <c r="L70" s="50"/>
      <c r="M70" s="50"/>
      <c r="N70" s="50"/>
      <c r="O70" s="50"/>
    </row>
    <row r="71" spans="1:15">
      <c r="A71" s="49"/>
      <c r="B71" s="49"/>
      <c r="C71" s="49"/>
      <c r="D71" s="50"/>
      <c r="E71" s="50"/>
      <c r="F71" s="49"/>
      <c r="G71" s="23"/>
      <c r="H71" s="51"/>
      <c r="I71" s="49"/>
      <c r="J71" s="50"/>
      <c r="K71" s="50"/>
      <c r="L71" s="50"/>
      <c r="M71" s="50"/>
      <c r="N71" s="50"/>
      <c r="O71" s="50"/>
    </row>
    <row r="72" spans="1:15">
      <c r="A72" s="49"/>
      <c r="B72" s="49"/>
      <c r="C72" s="49"/>
      <c r="D72" s="50"/>
      <c r="E72" s="50"/>
      <c r="F72" s="49"/>
      <c r="G72" s="23"/>
      <c r="H72" s="51"/>
      <c r="I72" s="49"/>
      <c r="J72" s="50"/>
      <c r="K72" s="50"/>
      <c r="L72" s="50"/>
      <c r="M72" s="50"/>
      <c r="N72" s="50"/>
      <c r="O72" s="50"/>
    </row>
    <row r="73" spans="1:15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</row>
    <row r="74" spans="1:15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</row>
    <row r="75" spans="1:15">
      <c r="A75" s="59"/>
      <c r="B75" s="18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</row>
    <row r="76" spans="1:15">
      <c r="A76" s="49"/>
      <c r="B76" s="49"/>
      <c r="C76" s="49"/>
      <c r="D76" s="50"/>
      <c r="E76" s="49"/>
      <c r="F76" s="49"/>
      <c r="G76" s="49"/>
      <c r="H76" s="51"/>
      <c r="I76" s="49"/>
      <c r="J76" s="50"/>
      <c r="K76" s="50"/>
      <c r="L76" s="50"/>
      <c r="M76" s="50"/>
      <c r="N76" s="50"/>
      <c r="O76" s="50"/>
    </row>
    <row r="77" spans="1:15">
      <c r="A77" s="49"/>
      <c r="B77" s="49"/>
      <c r="C77" s="49"/>
      <c r="D77" s="50"/>
      <c r="E77" s="50"/>
      <c r="F77" s="49"/>
      <c r="G77" s="23"/>
      <c r="H77" s="51"/>
      <c r="I77" s="49"/>
      <c r="J77" s="50"/>
      <c r="K77" s="50"/>
      <c r="L77" s="50"/>
      <c r="M77" s="50"/>
      <c r="N77" s="50"/>
      <c r="O77" s="50"/>
    </row>
    <row r="78" spans="1:15">
      <c r="A78" s="49"/>
      <c r="B78" s="49"/>
      <c r="C78" s="49"/>
      <c r="D78" s="50"/>
      <c r="E78" s="50"/>
      <c r="F78" s="49"/>
      <c r="G78" s="23"/>
      <c r="H78" s="51"/>
      <c r="I78" s="49"/>
      <c r="J78" s="50"/>
      <c r="K78" s="50"/>
      <c r="L78" s="50"/>
      <c r="M78" s="50"/>
      <c r="N78" s="50"/>
      <c r="O78" s="50"/>
    </row>
    <row r="79" spans="1:15">
      <c r="A79" s="49"/>
      <c r="B79" s="49"/>
      <c r="C79" s="49"/>
      <c r="D79" s="50"/>
      <c r="E79" s="50"/>
      <c r="F79" s="49"/>
      <c r="G79" s="23"/>
      <c r="H79" s="51"/>
      <c r="I79" s="49"/>
      <c r="J79" s="50"/>
      <c r="K79" s="50"/>
      <c r="L79" s="50"/>
      <c r="M79" s="50"/>
      <c r="N79" s="50"/>
      <c r="O79" s="50"/>
    </row>
    <row r="80" spans="1:15">
      <c r="A80" s="49"/>
      <c r="B80" s="49"/>
      <c r="C80" s="49"/>
      <c r="D80" s="50"/>
      <c r="E80" s="50"/>
      <c r="F80" s="49"/>
      <c r="G80" s="23"/>
      <c r="H80" s="51"/>
      <c r="I80" s="49"/>
      <c r="J80" s="50"/>
      <c r="K80" s="50"/>
      <c r="L80" s="50"/>
      <c r="M80" s="50"/>
      <c r="N80" s="50"/>
      <c r="O80" s="50"/>
    </row>
    <row r="81" spans="1:15">
      <c r="A81" s="49"/>
      <c r="B81" s="49"/>
      <c r="C81" s="49"/>
      <c r="D81" s="50"/>
      <c r="E81" s="50"/>
      <c r="F81" s="49"/>
      <c r="G81" s="23"/>
      <c r="H81" s="51"/>
      <c r="I81" s="49"/>
      <c r="J81" s="50"/>
      <c r="K81" s="50"/>
      <c r="L81" s="50"/>
      <c r="M81" s="50"/>
      <c r="N81" s="50"/>
      <c r="O81" s="50"/>
    </row>
    <row r="82" spans="1:15">
      <c r="A82" s="60"/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1:15">
      <c r="A83" s="60"/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1:15">
      <c r="A84" s="59"/>
      <c r="B84" s="18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</row>
    <row r="85" spans="1:15">
      <c r="A85" s="49"/>
      <c r="B85" s="49"/>
      <c r="C85" s="49"/>
      <c r="D85" s="50"/>
      <c r="E85" s="50"/>
      <c r="F85" s="49"/>
      <c r="G85" s="49"/>
      <c r="H85" s="51"/>
      <c r="I85" s="49"/>
      <c r="J85" s="50"/>
      <c r="K85" s="50"/>
      <c r="L85" s="50"/>
      <c r="M85" s="50"/>
      <c r="N85" s="50"/>
      <c r="O85" s="50"/>
    </row>
    <row r="86" spans="1:15">
      <c r="A86" s="49"/>
      <c r="B86" s="49"/>
      <c r="C86" s="49"/>
      <c r="D86" s="50"/>
      <c r="E86" s="50"/>
      <c r="F86" s="49"/>
      <c r="G86" s="23"/>
      <c r="H86" s="51"/>
      <c r="I86" s="49"/>
      <c r="J86" s="50"/>
      <c r="K86" s="50"/>
      <c r="L86" s="50"/>
      <c r="M86" s="50"/>
      <c r="N86" s="50"/>
      <c r="O86" s="50"/>
    </row>
    <row r="87" spans="1:15">
      <c r="A87" s="49"/>
      <c r="B87" s="49"/>
      <c r="C87" s="49"/>
      <c r="D87" s="50"/>
      <c r="E87" s="50"/>
      <c r="F87" s="49"/>
      <c r="G87" s="23"/>
      <c r="H87" s="51"/>
      <c r="I87" s="49"/>
      <c r="J87" s="50"/>
      <c r="K87" s="50"/>
      <c r="L87" s="50"/>
      <c r="M87" s="50"/>
      <c r="N87" s="50"/>
      <c r="O87" s="50"/>
    </row>
    <row r="88" spans="1:15">
      <c r="A88" s="49"/>
      <c r="B88" s="49"/>
      <c r="C88" s="49"/>
      <c r="D88" s="50"/>
      <c r="E88" s="50"/>
      <c r="F88" s="49"/>
      <c r="G88" s="23"/>
      <c r="H88" s="51"/>
      <c r="I88" s="49"/>
      <c r="J88" s="50"/>
      <c r="K88" s="50"/>
      <c r="L88" s="50"/>
      <c r="M88" s="50"/>
      <c r="N88" s="50"/>
      <c r="O88" s="50"/>
    </row>
    <row r="89" spans="1:15">
      <c r="A89" s="49"/>
      <c r="B89" s="49"/>
      <c r="C89" s="49"/>
      <c r="D89" s="50"/>
      <c r="E89" s="50"/>
      <c r="F89" s="49"/>
      <c r="G89" s="23"/>
      <c r="H89" s="51"/>
      <c r="I89" s="49"/>
      <c r="J89" s="50"/>
      <c r="K89" s="50"/>
      <c r="L89" s="50"/>
      <c r="M89" s="50"/>
      <c r="N89" s="50"/>
      <c r="O89" s="50"/>
    </row>
    <row r="90" spans="1:15">
      <c r="A90" s="49"/>
      <c r="B90" s="49"/>
      <c r="C90" s="49"/>
      <c r="D90" s="50"/>
      <c r="E90" s="50"/>
      <c r="F90" s="49"/>
      <c r="G90" s="23"/>
      <c r="H90" s="51"/>
      <c r="I90" s="49"/>
      <c r="J90" s="50"/>
      <c r="K90" s="50"/>
      <c r="L90" s="50"/>
      <c r="M90" s="50"/>
      <c r="N90" s="50"/>
      <c r="O90" s="50"/>
    </row>
    <row r="91" spans="1:15">
      <c r="A91" s="49"/>
      <c r="B91" s="49"/>
      <c r="C91" s="49"/>
      <c r="D91" s="50"/>
      <c r="E91" s="50"/>
      <c r="F91" s="49"/>
      <c r="G91" s="23"/>
      <c r="H91" s="51"/>
      <c r="I91" s="49"/>
      <c r="J91" s="50"/>
      <c r="K91" s="50"/>
      <c r="L91" s="50"/>
      <c r="M91" s="50"/>
      <c r="N91" s="50"/>
      <c r="O91" s="50"/>
    </row>
    <row r="92" spans="1:15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</row>
    <row r="93" spans="1:15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</row>
    <row r="94" spans="1:15">
      <c r="A94" s="59"/>
      <c r="B94" s="18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</row>
    <row r="95" spans="1:15">
      <c r="A95" s="49"/>
      <c r="B95" s="49"/>
      <c r="C95" s="49"/>
      <c r="D95" s="50"/>
      <c r="E95" s="50"/>
      <c r="F95" s="49"/>
      <c r="G95" s="49"/>
      <c r="H95" s="51"/>
      <c r="I95" s="49"/>
      <c r="J95" s="50"/>
      <c r="K95" s="50"/>
      <c r="L95" s="50"/>
      <c r="M95" s="50"/>
      <c r="N95" s="50"/>
      <c r="O95" s="50"/>
    </row>
    <row r="96" spans="1:15">
      <c r="A96" s="49"/>
      <c r="B96" s="49"/>
      <c r="C96" s="49"/>
      <c r="D96" s="50"/>
      <c r="E96" s="50"/>
      <c r="F96" s="49"/>
      <c r="G96" s="23"/>
      <c r="H96" s="51"/>
      <c r="I96" s="49"/>
      <c r="J96" s="50"/>
      <c r="K96" s="50"/>
      <c r="L96" s="50"/>
      <c r="M96" s="50"/>
      <c r="N96" s="50"/>
      <c r="O96" s="50"/>
    </row>
    <row r="97" spans="1:15">
      <c r="A97" s="49"/>
      <c r="B97" s="49"/>
      <c r="C97" s="49"/>
      <c r="D97" s="50"/>
      <c r="E97" s="50"/>
      <c r="F97" s="49"/>
      <c r="G97" s="23"/>
      <c r="H97" s="51"/>
      <c r="I97" s="49"/>
      <c r="J97" s="50"/>
      <c r="K97" s="50"/>
      <c r="L97" s="50"/>
      <c r="M97" s="50"/>
      <c r="N97" s="50"/>
      <c r="O97" s="50"/>
    </row>
    <row r="98" spans="1:15">
      <c r="A98" s="49"/>
      <c r="B98" s="49"/>
      <c r="C98" s="49"/>
      <c r="D98" s="50"/>
      <c r="E98" s="50"/>
      <c r="F98" s="49"/>
      <c r="G98" s="23"/>
      <c r="H98" s="51"/>
      <c r="I98" s="49"/>
      <c r="J98" s="50"/>
      <c r="K98" s="50"/>
      <c r="L98" s="50"/>
      <c r="M98" s="50"/>
      <c r="N98" s="50"/>
      <c r="O98" s="50"/>
    </row>
    <row r="99" spans="1:15">
      <c r="A99" s="49"/>
      <c r="B99" s="49"/>
      <c r="C99" s="49"/>
      <c r="D99" s="50"/>
      <c r="E99" s="50"/>
      <c r="F99" s="49"/>
      <c r="G99" s="23"/>
      <c r="H99" s="51"/>
      <c r="I99" s="49"/>
      <c r="J99" s="50"/>
      <c r="K99" s="50"/>
      <c r="L99" s="50"/>
      <c r="M99" s="50"/>
      <c r="N99" s="50"/>
      <c r="O99" s="50"/>
    </row>
    <row r="100" spans="1:15">
      <c r="A100" s="49"/>
      <c r="B100" s="49"/>
      <c r="C100" s="49"/>
      <c r="D100" s="50"/>
      <c r="E100" s="50"/>
      <c r="F100" s="49"/>
      <c r="G100" s="23"/>
      <c r="H100" s="51"/>
      <c r="I100" s="49"/>
      <c r="J100" s="50"/>
      <c r="K100" s="50"/>
      <c r="L100" s="50"/>
      <c r="M100" s="50"/>
      <c r="N100" s="50"/>
      <c r="O100" s="50"/>
    </row>
    <row r="101" spans="1:15">
      <c r="A101" s="49"/>
      <c r="B101" s="49"/>
      <c r="C101" s="49"/>
      <c r="D101" s="50"/>
      <c r="E101" s="50"/>
      <c r="F101" s="49"/>
      <c r="G101" s="23"/>
      <c r="H101" s="51"/>
      <c r="I101" s="49"/>
      <c r="J101" s="50"/>
      <c r="K101" s="50"/>
      <c r="L101" s="50"/>
      <c r="M101" s="50"/>
      <c r="N101" s="50"/>
      <c r="O101" s="50"/>
    </row>
    <row r="102" spans="1:15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</row>
    <row r="103" spans="1:15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  <row r="104" spans="1:15">
      <c r="A104" s="59"/>
      <c r="B104" s="18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</row>
    <row r="105" spans="1:15">
      <c r="A105" s="49"/>
      <c r="B105" s="49"/>
      <c r="C105" s="49"/>
      <c r="D105" s="50"/>
      <c r="E105" s="49"/>
      <c r="F105" s="49"/>
      <c r="G105" s="49"/>
      <c r="H105" s="51"/>
      <c r="I105" s="49"/>
      <c r="J105" s="50"/>
      <c r="K105" s="50"/>
      <c r="L105" s="50"/>
      <c r="M105" s="50"/>
      <c r="N105" s="50"/>
      <c r="O105" s="50"/>
    </row>
    <row r="106" spans="1:15">
      <c r="A106" s="49"/>
      <c r="B106" s="49"/>
      <c r="C106" s="49"/>
      <c r="D106" s="50"/>
      <c r="E106" s="50"/>
      <c r="F106" s="49"/>
      <c r="G106" s="23"/>
      <c r="H106" s="51"/>
      <c r="I106" s="49"/>
      <c r="J106" s="50"/>
      <c r="K106" s="50"/>
      <c r="L106" s="50"/>
      <c r="M106" s="50"/>
      <c r="N106" s="50"/>
      <c r="O106" s="50"/>
    </row>
    <row r="107" spans="1:15">
      <c r="A107" s="49"/>
      <c r="B107" s="49"/>
      <c r="C107" s="49"/>
      <c r="D107" s="50"/>
      <c r="E107" s="50"/>
      <c r="F107" s="49"/>
      <c r="G107" s="23"/>
      <c r="H107" s="51"/>
      <c r="I107" s="49"/>
      <c r="J107" s="50"/>
      <c r="K107" s="50"/>
      <c r="L107" s="50"/>
      <c r="M107" s="50"/>
      <c r="N107" s="50"/>
      <c r="O107" s="50"/>
    </row>
    <row r="108" spans="1:15">
      <c r="A108" s="49"/>
      <c r="B108" s="49"/>
      <c r="C108" s="49"/>
      <c r="D108" s="50"/>
      <c r="E108" s="50"/>
      <c r="F108" s="49"/>
      <c r="G108" s="23"/>
      <c r="H108" s="51"/>
      <c r="I108" s="49"/>
      <c r="J108" s="50"/>
      <c r="K108" s="50"/>
      <c r="L108" s="50"/>
      <c r="M108" s="50"/>
      <c r="N108" s="50"/>
      <c r="O108" s="50"/>
    </row>
    <row r="109" spans="1:15">
      <c r="A109" s="49"/>
      <c r="B109" s="49"/>
      <c r="C109" s="49"/>
      <c r="D109" s="50"/>
      <c r="E109" s="50"/>
      <c r="F109" s="49"/>
      <c r="G109" s="23"/>
      <c r="H109" s="51"/>
      <c r="I109" s="49"/>
      <c r="J109" s="50"/>
      <c r="K109" s="50"/>
      <c r="L109" s="50"/>
      <c r="M109" s="50"/>
      <c r="N109" s="50"/>
      <c r="O109" s="50"/>
    </row>
    <row r="110" spans="1:15">
      <c r="A110" s="49"/>
      <c r="B110" s="49"/>
      <c r="C110" s="49"/>
      <c r="D110" s="50"/>
      <c r="E110" s="50"/>
      <c r="F110" s="49"/>
      <c r="G110" s="23"/>
      <c r="H110" s="51"/>
      <c r="I110" s="49"/>
      <c r="J110" s="50"/>
      <c r="K110" s="50"/>
      <c r="L110" s="50"/>
      <c r="M110" s="50"/>
      <c r="N110" s="50"/>
      <c r="O110" s="50"/>
    </row>
  </sheetData>
  <mergeCells count="2">
    <mergeCell ref="F4:G4"/>
    <mergeCell ref="H4:O4"/>
  </mergeCells>
  <phoneticPr fontId="11" type="noConversion"/>
  <printOptions horizontalCentered="1"/>
  <pageMargins left="0.2" right="0.2" top="0.66" bottom="0.2" header="0" footer="0"/>
  <pageSetup paperSize="9" scale="90" firstPageNumber="0" orientation="landscape" horizontalDpi="300" verticalDpi="300" r:id="rId1"/>
  <headerFooter alignWithMargins="0"/>
  <rowBreaks count="1" manualBreakCount="1">
    <brk id="4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O12"/>
  <sheetViews>
    <sheetView tabSelected="1" view="pageBreakPreview" zoomScale="115" zoomScaleSheetLayoutView="115" workbookViewId="0">
      <selection activeCell="F28" sqref="F28"/>
    </sheetView>
  </sheetViews>
  <sheetFormatPr defaultRowHeight="12.75"/>
  <cols>
    <col min="1" max="1" width="16" customWidth="1"/>
  </cols>
  <sheetData>
    <row r="1" spans="1:15" ht="15">
      <c r="A1" s="24" t="s">
        <v>82</v>
      </c>
      <c r="B1" s="24"/>
      <c r="C1" s="71"/>
      <c r="D1" s="24"/>
      <c r="E1" s="71"/>
      <c r="F1" s="24"/>
      <c r="G1" s="24"/>
      <c r="H1" s="71"/>
      <c r="I1" s="24"/>
      <c r="J1" s="71"/>
      <c r="K1" s="24"/>
      <c r="L1" s="24"/>
      <c r="M1" s="71"/>
    </row>
    <row r="2" spans="1:15" ht="15.75" thickBot="1">
      <c r="A2" s="70"/>
      <c r="B2" s="44"/>
      <c r="C2" s="72"/>
      <c r="D2" s="44"/>
      <c r="E2" s="72"/>
      <c r="F2" s="44"/>
      <c r="G2" s="44"/>
      <c r="H2" s="72"/>
      <c r="I2" s="44"/>
      <c r="J2" s="72"/>
      <c r="K2" s="44"/>
      <c r="L2" s="44"/>
      <c r="M2" s="72"/>
    </row>
    <row r="3" spans="1:15" ht="15">
      <c r="A3" s="107" t="s">
        <v>50</v>
      </c>
      <c r="B3" s="114" t="s">
        <v>51</v>
      </c>
      <c r="C3" s="108" t="s">
        <v>52</v>
      </c>
      <c r="D3" s="114" t="s">
        <v>53</v>
      </c>
      <c r="E3" s="108" t="s">
        <v>54</v>
      </c>
      <c r="F3" s="114" t="s">
        <v>40</v>
      </c>
      <c r="G3" s="114" t="s">
        <v>55</v>
      </c>
      <c r="H3" s="108" t="s">
        <v>56</v>
      </c>
      <c r="I3" s="114" t="s">
        <v>57</v>
      </c>
      <c r="J3" s="108" t="s">
        <v>58</v>
      </c>
      <c r="K3" s="114" t="s">
        <v>44</v>
      </c>
      <c r="L3" s="114" t="s">
        <v>59</v>
      </c>
      <c r="M3" s="109" t="s">
        <v>60</v>
      </c>
    </row>
    <row r="4" spans="1:15" ht="15">
      <c r="A4" s="110"/>
      <c r="B4" s="78" t="s">
        <v>61</v>
      </c>
      <c r="C4" s="74" t="s">
        <v>62</v>
      </c>
      <c r="D4" s="78" t="s">
        <v>62</v>
      </c>
      <c r="E4" s="74" t="s">
        <v>62</v>
      </c>
      <c r="F4" s="78" t="s">
        <v>63</v>
      </c>
      <c r="G4" s="78" t="s">
        <v>64</v>
      </c>
      <c r="H4" s="74" t="s">
        <v>65</v>
      </c>
      <c r="I4" s="78" t="s">
        <v>62</v>
      </c>
      <c r="J4" s="74" t="s">
        <v>66</v>
      </c>
      <c r="K4" s="78"/>
      <c r="L4" s="78" t="s">
        <v>67</v>
      </c>
      <c r="M4" s="111" t="s">
        <v>68</v>
      </c>
    </row>
    <row r="5" spans="1:15" ht="15">
      <c r="A5" s="110"/>
      <c r="B5" s="78"/>
      <c r="C5" s="74"/>
      <c r="D5" s="78"/>
      <c r="E5" s="74"/>
      <c r="F5" s="78"/>
      <c r="G5" s="78"/>
      <c r="H5" s="74"/>
      <c r="I5" s="78"/>
      <c r="J5" s="74"/>
      <c r="K5" s="78"/>
      <c r="L5" s="78"/>
      <c r="M5" s="111" t="s">
        <v>65</v>
      </c>
    </row>
    <row r="6" spans="1:15" ht="15">
      <c r="A6" s="93" t="s">
        <v>149</v>
      </c>
      <c r="B6" s="61">
        <f>'Hidraulica Canal'!C9</f>
        <v>1.5</v>
      </c>
      <c r="C6" s="73">
        <f t="shared" ref="C6" si="0">IF(B6&gt;=0.6,0.35*0.7*B6^0.5,0.35*B6)</f>
        <v>0.30006249349093927</v>
      </c>
      <c r="D6" s="61">
        <v>2</v>
      </c>
      <c r="E6" s="73">
        <f t="shared" ref="E6" si="1">C6+D6</f>
        <v>2.3000624934909393</v>
      </c>
      <c r="F6" s="95">
        <v>0.01</v>
      </c>
      <c r="G6" s="61">
        <v>160</v>
      </c>
      <c r="H6" s="73">
        <v>1.36</v>
      </c>
      <c r="I6" s="73">
        <v>24.76</v>
      </c>
      <c r="J6" s="73">
        <f t="shared" ref="J6" si="2">E6/I6</f>
        <v>9.2894284874432118E-2</v>
      </c>
      <c r="K6" s="61">
        <v>0.19</v>
      </c>
      <c r="L6" s="61">
        <v>0.68</v>
      </c>
      <c r="M6" s="99">
        <f t="shared" ref="M6" si="3">L6*H6</f>
        <v>0.92480000000000018</v>
      </c>
    </row>
    <row r="7" spans="1:15" ht="15">
      <c r="A7" s="93" t="s">
        <v>72</v>
      </c>
      <c r="B7" s="61">
        <f>B6+'Hidraulica Canal'!C38</f>
        <v>3</v>
      </c>
      <c r="C7" s="73">
        <f t="shared" ref="C7" si="4">IF(B7&gt;=0.6,0.35*0.7*B7^0.5,0.35*B7)</f>
        <v>0.42435244785437487</v>
      </c>
      <c r="D7" s="61">
        <v>2</v>
      </c>
      <c r="E7" s="73">
        <f t="shared" ref="E7" si="5">C7+D7</f>
        <v>2.4243524478543748</v>
      </c>
      <c r="F7" s="95">
        <v>0.01</v>
      </c>
      <c r="G7" s="61">
        <v>160</v>
      </c>
      <c r="H7" s="73">
        <v>1.36</v>
      </c>
      <c r="I7" s="73">
        <v>24.76</v>
      </c>
      <c r="J7" s="73">
        <f t="shared" ref="J7" si="6">E7/I7</f>
        <v>9.7914073015120132E-2</v>
      </c>
      <c r="K7" s="61">
        <v>0.2</v>
      </c>
      <c r="L7" s="61">
        <v>0.69</v>
      </c>
      <c r="M7" s="99">
        <f t="shared" ref="M7" si="7">L7*H7</f>
        <v>0.93840000000000001</v>
      </c>
    </row>
    <row r="8" spans="1:15" ht="15.75" thickBot="1">
      <c r="A8" s="100" t="s">
        <v>150</v>
      </c>
      <c r="B8" s="101">
        <f>'Hidraulica Canal'!C22+'Hidraulica Canal'!C34+1</f>
        <v>114.5</v>
      </c>
      <c r="C8" s="102">
        <f t="shared" ref="C8" si="8">IF(B8&gt;=0.6,0.35*0.7*B8^0.5,0.35*B8)</f>
        <v>2.6216144834815047</v>
      </c>
      <c r="D8" s="101">
        <v>2</v>
      </c>
      <c r="E8" s="102">
        <f t="shared" ref="E8" si="9">C8+D8</f>
        <v>4.6216144834815047</v>
      </c>
      <c r="F8" s="104">
        <v>8.0000000000000002E-3</v>
      </c>
      <c r="G8" s="101">
        <v>200</v>
      </c>
      <c r="H8" s="102">
        <v>0.94</v>
      </c>
      <c r="I8" s="102">
        <v>29.2</v>
      </c>
      <c r="J8" s="102">
        <f t="shared" ref="J8" si="10">E8/I8</f>
        <v>0.15827446861238031</v>
      </c>
      <c r="K8" s="101">
        <v>0.26</v>
      </c>
      <c r="L8" s="101">
        <v>0.78</v>
      </c>
      <c r="M8" s="105">
        <f t="shared" ref="M8" si="11">L8*H8</f>
        <v>0.73319999999999996</v>
      </c>
    </row>
    <row r="9" spans="1:15" ht="1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15" ht="1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5" ht="15">
      <c r="A11" s="47" t="s">
        <v>69</v>
      </c>
      <c r="B11" s="63"/>
      <c r="C11" s="47"/>
      <c r="D11" s="63"/>
      <c r="E11" s="47"/>
      <c r="F11" s="63"/>
      <c r="G11" s="47"/>
      <c r="H11" s="63"/>
      <c r="I11" s="47"/>
      <c r="J11" s="63"/>
      <c r="M11" s="26"/>
      <c r="N11" s="26"/>
      <c r="O11" s="50"/>
    </row>
    <row r="12" spans="1:15" ht="15">
      <c r="A12" s="64" t="s">
        <v>151</v>
      </c>
      <c r="B12" s="65"/>
      <c r="C12" s="64"/>
      <c r="D12" s="65"/>
      <c r="E12" s="64"/>
      <c r="F12" s="65"/>
      <c r="G12" s="64"/>
      <c r="H12" s="65"/>
      <c r="I12" s="64"/>
      <c r="J12" s="65"/>
      <c r="M12" s="26"/>
      <c r="N12" s="26"/>
      <c r="O12" s="50"/>
    </row>
  </sheetData>
  <phoneticPr fontId="11" type="noConversion"/>
  <printOptions horizontalCentered="1"/>
  <pageMargins left="0.2" right="0.2" top="0.82" bottom="0.2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4" baseType="variant">
      <vt:variant>
        <vt:lpstr>Foi de lucru</vt:lpstr>
      </vt:variant>
      <vt:variant>
        <vt:i4>4</vt:i4>
      </vt:variant>
      <vt:variant>
        <vt:lpstr>Zone denumite</vt:lpstr>
      </vt:variant>
      <vt:variant>
        <vt:i4>20</vt:i4>
      </vt:variant>
    </vt:vector>
  </HeadingPairs>
  <TitlesOfParts>
    <vt:vector size="24" baseType="lpstr">
      <vt:lpstr>Hidraulica AR PPR</vt:lpstr>
      <vt:lpstr>Hidraulica AC PPR</vt:lpstr>
      <vt:lpstr>Hidraulica Canal</vt:lpstr>
      <vt:lpstr>Hidraulica Canal Ext</vt:lpstr>
      <vt:lpstr>_1Excel_BuiltIn_Print_Area_1_1_1_1_1</vt:lpstr>
      <vt:lpstr>_2Excel_BuiltIn_Print_Area_2_1_1_1_1</vt:lpstr>
      <vt:lpstr>_cof2</vt:lpstr>
      <vt:lpstr>coef</vt:lpstr>
      <vt:lpstr>coef1</vt:lpstr>
      <vt:lpstr>Excel_BuiltIn_Print_Area_1_1</vt:lpstr>
      <vt:lpstr>Excel_BuiltIn_Print_Area_1_1_1</vt:lpstr>
      <vt:lpstr>Excel_BuiltIn_Print_Area_1_1_1_1</vt:lpstr>
      <vt:lpstr>Excel_BuiltIn_Print_Area_1_1_1_1_1</vt:lpstr>
      <vt:lpstr>Excel_BuiltIn_Print_Area_1_1_1_1_1_1</vt:lpstr>
      <vt:lpstr>Excel_BuiltIn_Print_Area_1_1_1_1_1_1_1</vt:lpstr>
      <vt:lpstr>Excel_BuiltIn_Print_Area_2_1</vt:lpstr>
      <vt:lpstr>Excel_BuiltIn_Print_Area_2_1_1</vt:lpstr>
      <vt:lpstr>Excel_BuiltIn_Print_Area_2_1_1_1</vt:lpstr>
      <vt:lpstr>Excel_BuiltIn_Print_Area_3_1</vt:lpstr>
      <vt:lpstr>Excel_BuiltIn_Print_Area_3_1_1</vt:lpstr>
      <vt:lpstr>'Hidraulica AC PPR'!Zona_de_imprimat</vt:lpstr>
      <vt:lpstr>'Hidraulica AR PPR'!Zona_de_imprimat</vt:lpstr>
      <vt:lpstr>'Hidraulica Canal'!Zona_de_imprimat</vt:lpstr>
      <vt:lpstr>'Hidraulica Canal Ext'!Zona_de_imprimat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</dc:creator>
  <cp:keywords/>
  <dc:description/>
  <cp:lastModifiedBy>Proiectantul</cp:lastModifiedBy>
  <cp:revision>1</cp:revision>
  <cp:lastPrinted>2014-05-27T06:35:06Z</cp:lastPrinted>
  <dcterms:created xsi:type="dcterms:W3CDTF">1997-01-06T13:42:58Z</dcterms:created>
  <dcterms:modified xsi:type="dcterms:W3CDTF">2014-05-27T06:35:19Z</dcterms:modified>
</cp:coreProperties>
</file>